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anborn\Desktop\"/>
    </mc:Choice>
  </mc:AlternateContent>
  <xr:revisionPtr revIDLastSave="0" documentId="13_ncr:1_{E1ABAE2A-368C-455C-BDD2-B717D10BF62D}" xr6:coauthVersionLast="47" xr6:coauthVersionMax="47" xr10:uidLastSave="{00000000-0000-0000-0000-000000000000}"/>
  <bookViews>
    <workbookView xWindow="2520" yWindow="984" windowWidth="18876" windowHeight="11052" activeTab="4" xr2:uid="{00000000-000D-0000-FFFF-FFFF00000000}"/>
  </bookViews>
  <sheets>
    <sheet name="arrears" sheetId="1" r:id="rId1"/>
    <sheet name="surcharge" sheetId="6" r:id="rId2"/>
    <sheet name="simple surcharge" sheetId="3" r:id="rId3"/>
    <sheet name="Help" sheetId="7" r:id="rId4"/>
    <sheet name="Sheet4" sheetId="4" r:id="rId5"/>
    <sheet name="Module1" sheetId="5" state="veryHidden" r:id="rId6"/>
  </sheets>
  <definedNames>
    <definedName name="Arrears_page_totals">arrears!$K$1</definedName>
    <definedName name="ArrearsTypes">Sheet4!$A$1:$A$22</definedName>
    <definedName name="Monthly_balances_due">surcharge!$M$4</definedName>
    <definedName name="NPA_Arrears">arrears!$G$26</definedName>
    <definedName name="_xlnm.Print_Area" localSheetId="0">arrears!$A$1:$I$356</definedName>
    <definedName name="_xlnm.Print_Area" localSheetId="1">surcharge!$A$1:$J$560</definedName>
    <definedName name="Surcharge">arrears!$G$31</definedName>
    <definedName name="Surcharge_calculation">surcharge!$M$2</definedName>
    <definedName name="Type">arrears!$C$6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6" l="1"/>
  <c r="A51" i="6"/>
  <c r="A50" i="6"/>
  <c r="A49" i="6"/>
  <c r="A48" i="6"/>
  <c r="A47" i="6"/>
  <c r="H50" i="6"/>
  <c r="D6" i="6"/>
  <c r="B541" i="6"/>
  <c r="L543" i="6"/>
  <c r="B522" i="6"/>
  <c r="L524" i="6" s="1"/>
  <c r="B503" i="6"/>
  <c r="L505" i="6"/>
  <c r="B478" i="6"/>
  <c r="B459" i="6"/>
  <c r="L461" i="6" s="1"/>
  <c r="B440" i="6"/>
  <c r="L442" i="6"/>
  <c r="B415" i="6"/>
  <c r="L417" i="6" s="1"/>
  <c r="B396" i="6"/>
  <c r="L398" i="6"/>
  <c r="B377" i="6"/>
  <c r="B351" i="6"/>
  <c r="L353" i="6"/>
  <c r="B332" i="6"/>
  <c r="L334" i="6"/>
  <c r="B290" i="6"/>
  <c r="L292" i="6" s="1"/>
  <c r="B271" i="6"/>
  <c r="B252" i="6"/>
  <c r="L254" i="6" s="1"/>
  <c r="B227" i="6"/>
  <c r="L229" i="6"/>
  <c r="B208" i="6"/>
  <c r="L210" i="6"/>
  <c r="B189" i="6"/>
  <c r="B164" i="6"/>
  <c r="L166" i="6"/>
  <c r="B126" i="6"/>
  <c r="L128" i="6"/>
  <c r="B145" i="6"/>
  <c r="L147" i="6" s="1"/>
  <c r="B101" i="6"/>
  <c r="L103" i="6" s="1"/>
  <c r="B82" i="6"/>
  <c r="L84" i="6" s="1"/>
  <c r="B63" i="6"/>
  <c r="L65" i="6" s="1"/>
  <c r="C66" i="6"/>
  <c r="M8" i="6"/>
  <c r="M6" i="6" s="1"/>
  <c r="B65" i="6"/>
  <c r="I65" i="6" s="1"/>
  <c r="C65" i="6"/>
  <c r="B66" i="6"/>
  <c r="C67" i="6"/>
  <c r="B67" i="6"/>
  <c r="C68" i="6"/>
  <c r="B68" i="6"/>
  <c r="C69" i="6"/>
  <c r="B69" i="6"/>
  <c r="C70" i="6"/>
  <c r="B70" i="6"/>
  <c r="C71" i="6"/>
  <c r="B71" i="6"/>
  <c r="C72" i="6"/>
  <c r="B72" i="6"/>
  <c r="C73" i="6"/>
  <c r="B73" i="6"/>
  <c r="C74" i="6"/>
  <c r="B74" i="6"/>
  <c r="C75" i="6"/>
  <c r="B75" i="6"/>
  <c r="C76" i="6"/>
  <c r="B76" i="6"/>
  <c r="C84" i="6"/>
  <c r="B84" i="6"/>
  <c r="C85" i="6"/>
  <c r="B85" i="6"/>
  <c r="C86" i="6"/>
  <c r="B86" i="6"/>
  <c r="C87" i="6"/>
  <c r="B87" i="6"/>
  <c r="C88" i="6"/>
  <c r="B88" i="6"/>
  <c r="C89" i="6"/>
  <c r="B89" i="6"/>
  <c r="C90" i="6"/>
  <c r="B90" i="6"/>
  <c r="C91" i="6"/>
  <c r="B91" i="6"/>
  <c r="C92" i="6"/>
  <c r="B92" i="6"/>
  <c r="C93" i="6"/>
  <c r="B93" i="6"/>
  <c r="C94" i="6"/>
  <c r="B94" i="6"/>
  <c r="C95" i="6"/>
  <c r="B95" i="6"/>
  <c r="C103" i="6"/>
  <c r="B103" i="6"/>
  <c r="C104" i="6"/>
  <c r="B104" i="6"/>
  <c r="C105" i="6"/>
  <c r="B105" i="6"/>
  <c r="C106" i="6"/>
  <c r="B106" i="6"/>
  <c r="C107" i="6"/>
  <c r="B107" i="6"/>
  <c r="C108" i="6"/>
  <c r="B108" i="6"/>
  <c r="C109" i="6"/>
  <c r="B109" i="6"/>
  <c r="C110" i="6"/>
  <c r="B110" i="6"/>
  <c r="C111" i="6"/>
  <c r="B111" i="6"/>
  <c r="C112" i="6"/>
  <c r="B112" i="6"/>
  <c r="C113" i="6"/>
  <c r="B113" i="6"/>
  <c r="C114" i="6"/>
  <c r="B114" i="6"/>
  <c r="C128" i="6"/>
  <c r="B128" i="6"/>
  <c r="C129" i="6"/>
  <c r="B129" i="6"/>
  <c r="C130" i="6"/>
  <c r="B130" i="6"/>
  <c r="C131" i="6"/>
  <c r="B131" i="6"/>
  <c r="C132" i="6"/>
  <c r="B132" i="6"/>
  <c r="C133" i="6"/>
  <c r="B133" i="6"/>
  <c r="C134" i="6"/>
  <c r="B134" i="6"/>
  <c r="C135" i="6"/>
  <c r="B135" i="6"/>
  <c r="C136" i="6"/>
  <c r="B136" i="6"/>
  <c r="C137" i="6"/>
  <c r="B137" i="6"/>
  <c r="C138" i="6"/>
  <c r="B138" i="6"/>
  <c r="C139" i="6"/>
  <c r="B139" i="6"/>
  <c r="C147" i="6"/>
  <c r="B147" i="6"/>
  <c r="C148" i="6"/>
  <c r="B148" i="6"/>
  <c r="C149" i="6"/>
  <c r="B149" i="6"/>
  <c r="C150" i="6"/>
  <c r="B150" i="6"/>
  <c r="C151" i="6"/>
  <c r="B151" i="6"/>
  <c r="C152" i="6"/>
  <c r="B152" i="6"/>
  <c r="C153" i="6"/>
  <c r="B153" i="6"/>
  <c r="C154" i="6"/>
  <c r="B154" i="6"/>
  <c r="C155" i="6"/>
  <c r="B155" i="6"/>
  <c r="C156" i="6"/>
  <c r="B156" i="6"/>
  <c r="C157" i="6"/>
  <c r="B157" i="6"/>
  <c r="C158" i="6"/>
  <c r="B158" i="6"/>
  <c r="C166" i="6"/>
  <c r="B166" i="6"/>
  <c r="C167" i="6"/>
  <c r="B167" i="6"/>
  <c r="C168" i="6"/>
  <c r="B168" i="6"/>
  <c r="C169" i="6"/>
  <c r="B169" i="6"/>
  <c r="C170" i="6"/>
  <c r="B170" i="6"/>
  <c r="C171" i="6"/>
  <c r="B171" i="6"/>
  <c r="C172" i="6"/>
  <c r="B172" i="6"/>
  <c r="C173" i="6"/>
  <c r="B173" i="6"/>
  <c r="C174" i="6"/>
  <c r="B174" i="6"/>
  <c r="C175" i="6"/>
  <c r="B175" i="6"/>
  <c r="C176" i="6"/>
  <c r="B176" i="6"/>
  <c r="C177" i="6"/>
  <c r="B177" i="6"/>
  <c r="C191" i="6"/>
  <c r="B191" i="6"/>
  <c r="C192" i="6"/>
  <c r="B192" i="6"/>
  <c r="C193" i="6"/>
  <c r="B193" i="6"/>
  <c r="C194" i="6"/>
  <c r="B194" i="6"/>
  <c r="C195" i="6"/>
  <c r="B195" i="6"/>
  <c r="C196" i="6"/>
  <c r="B196" i="6"/>
  <c r="C197" i="6"/>
  <c r="B197" i="6"/>
  <c r="C198" i="6"/>
  <c r="B198" i="6"/>
  <c r="C199" i="6"/>
  <c r="B199" i="6"/>
  <c r="C200" i="6"/>
  <c r="B200" i="6"/>
  <c r="C201" i="6"/>
  <c r="B201" i="6"/>
  <c r="C202" i="6"/>
  <c r="B202" i="6"/>
  <c r="C210" i="6"/>
  <c r="B210" i="6"/>
  <c r="C211" i="6"/>
  <c r="B211" i="6"/>
  <c r="C212" i="6"/>
  <c r="B212" i="6"/>
  <c r="C213" i="6"/>
  <c r="B213" i="6"/>
  <c r="C214" i="6"/>
  <c r="B214" i="6"/>
  <c r="C215" i="6"/>
  <c r="B215" i="6"/>
  <c r="C216" i="6"/>
  <c r="B216" i="6"/>
  <c r="C217" i="6"/>
  <c r="B217" i="6"/>
  <c r="C218" i="6"/>
  <c r="B218" i="6"/>
  <c r="C219" i="6"/>
  <c r="B219" i="6"/>
  <c r="C220" i="6"/>
  <c r="B220" i="6"/>
  <c r="C221" i="6"/>
  <c r="B221" i="6"/>
  <c r="C229" i="6"/>
  <c r="B229" i="6"/>
  <c r="C230" i="6"/>
  <c r="B230" i="6"/>
  <c r="C231" i="6"/>
  <c r="B231" i="6"/>
  <c r="C232" i="6"/>
  <c r="B232" i="6"/>
  <c r="C233" i="6"/>
  <c r="B233" i="6"/>
  <c r="C234" i="6"/>
  <c r="B234" i="6"/>
  <c r="C235" i="6"/>
  <c r="B235" i="6"/>
  <c r="C236" i="6"/>
  <c r="B236" i="6"/>
  <c r="C237" i="6"/>
  <c r="B237" i="6"/>
  <c r="C238" i="6"/>
  <c r="B238" i="6"/>
  <c r="C239" i="6"/>
  <c r="B239" i="6"/>
  <c r="C240" i="6"/>
  <c r="B240" i="6"/>
  <c r="C254" i="6"/>
  <c r="B254" i="6"/>
  <c r="C255" i="6"/>
  <c r="B255" i="6"/>
  <c r="C256" i="6"/>
  <c r="B256" i="6"/>
  <c r="C257" i="6"/>
  <c r="B257" i="6"/>
  <c r="C258" i="6"/>
  <c r="B258" i="6"/>
  <c r="C259" i="6"/>
  <c r="B259" i="6"/>
  <c r="C260" i="6"/>
  <c r="B260" i="6"/>
  <c r="C261" i="6"/>
  <c r="B261" i="6"/>
  <c r="C262" i="6"/>
  <c r="B262" i="6"/>
  <c r="C263" i="6"/>
  <c r="B263" i="6"/>
  <c r="C264" i="6"/>
  <c r="B264" i="6"/>
  <c r="C265" i="6"/>
  <c r="B265" i="6"/>
  <c r="C273" i="6"/>
  <c r="B273" i="6"/>
  <c r="C274" i="6"/>
  <c r="B274" i="6"/>
  <c r="C275" i="6"/>
  <c r="B275" i="6"/>
  <c r="C276" i="6"/>
  <c r="B276" i="6"/>
  <c r="C277" i="6"/>
  <c r="B277" i="6"/>
  <c r="C278" i="6"/>
  <c r="B278" i="6"/>
  <c r="C279" i="6"/>
  <c r="B279" i="6"/>
  <c r="C280" i="6"/>
  <c r="B280" i="6"/>
  <c r="C281" i="6"/>
  <c r="B281" i="6"/>
  <c r="C282" i="6"/>
  <c r="B282" i="6"/>
  <c r="C283" i="6"/>
  <c r="B283" i="6"/>
  <c r="C284" i="6"/>
  <c r="B284" i="6"/>
  <c r="C292" i="6"/>
  <c r="B292" i="6"/>
  <c r="C293" i="6"/>
  <c r="B293" i="6"/>
  <c r="C294" i="6"/>
  <c r="B294" i="6"/>
  <c r="C295" i="6"/>
  <c r="B295" i="6"/>
  <c r="C296" i="6"/>
  <c r="C304" i="6" s="1"/>
  <c r="B296" i="6"/>
  <c r="C297" i="6"/>
  <c r="B297" i="6"/>
  <c r="C298" i="6"/>
  <c r="B298" i="6"/>
  <c r="C299" i="6"/>
  <c r="B299" i="6"/>
  <c r="C300" i="6"/>
  <c r="B300" i="6"/>
  <c r="C301" i="6"/>
  <c r="B301" i="6"/>
  <c r="C302" i="6"/>
  <c r="B302" i="6"/>
  <c r="C303" i="6"/>
  <c r="B303" i="6"/>
  <c r="C315" i="6"/>
  <c r="B315" i="6"/>
  <c r="C316" i="6"/>
  <c r="B316" i="6"/>
  <c r="C317" i="6"/>
  <c r="B317" i="6"/>
  <c r="C318" i="6"/>
  <c r="B318" i="6"/>
  <c r="C319" i="6"/>
  <c r="B319" i="6"/>
  <c r="C320" i="6"/>
  <c r="B320" i="6"/>
  <c r="C321" i="6"/>
  <c r="B321" i="6"/>
  <c r="C322" i="6"/>
  <c r="B322" i="6"/>
  <c r="C323" i="6"/>
  <c r="B323" i="6"/>
  <c r="C324" i="6"/>
  <c r="B324" i="6"/>
  <c r="C325" i="6"/>
  <c r="B325" i="6"/>
  <c r="C326" i="6"/>
  <c r="B326" i="6"/>
  <c r="C334" i="6"/>
  <c r="B334" i="6"/>
  <c r="C335" i="6"/>
  <c r="B335" i="6"/>
  <c r="C336" i="6"/>
  <c r="B336" i="6"/>
  <c r="C337" i="6"/>
  <c r="B337" i="6"/>
  <c r="C338" i="6"/>
  <c r="B338" i="6"/>
  <c r="C339" i="6"/>
  <c r="B339" i="6"/>
  <c r="C340" i="6"/>
  <c r="B340" i="6"/>
  <c r="C341" i="6"/>
  <c r="B341" i="6"/>
  <c r="C342" i="6"/>
  <c r="B342" i="6"/>
  <c r="C343" i="6"/>
  <c r="B343" i="6"/>
  <c r="C344" i="6"/>
  <c r="B344" i="6"/>
  <c r="C345" i="6"/>
  <c r="B345" i="6"/>
  <c r="C353" i="6"/>
  <c r="B353" i="6"/>
  <c r="C354" i="6"/>
  <c r="B354" i="6"/>
  <c r="C355" i="6"/>
  <c r="B355" i="6"/>
  <c r="C356" i="6"/>
  <c r="B356" i="6"/>
  <c r="C357" i="6"/>
  <c r="B357" i="6"/>
  <c r="C358" i="6"/>
  <c r="B358" i="6"/>
  <c r="C359" i="6"/>
  <c r="B359" i="6"/>
  <c r="C360" i="6"/>
  <c r="B360" i="6"/>
  <c r="C361" i="6"/>
  <c r="B361" i="6"/>
  <c r="C362" i="6"/>
  <c r="B362" i="6"/>
  <c r="C363" i="6"/>
  <c r="B363" i="6"/>
  <c r="C364" i="6"/>
  <c r="B364" i="6"/>
  <c r="C379" i="6"/>
  <c r="B379" i="6"/>
  <c r="C380" i="6"/>
  <c r="B380" i="6"/>
  <c r="C381" i="6"/>
  <c r="B381" i="6"/>
  <c r="C382" i="6"/>
  <c r="B382" i="6"/>
  <c r="C383" i="6"/>
  <c r="B383" i="6"/>
  <c r="C384" i="6"/>
  <c r="B384" i="6"/>
  <c r="C385" i="6"/>
  <c r="B385" i="6"/>
  <c r="C386" i="6"/>
  <c r="B386" i="6"/>
  <c r="C387" i="6"/>
  <c r="B387" i="6"/>
  <c r="C388" i="6"/>
  <c r="B388" i="6"/>
  <c r="C389" i="6"/>
  <c r="B389" i="6"/>
  <c r="C390" i="6"/>
  <c r="B390" i="6"/>
  <c r="C398" i="6"/>
  <c r="B398" i="6"/>
  <c r="C399" i="6"/>
  <c r="B399" i="6"/>
  <c r="C400" i="6"/>
  <c r="B400" i="6"/>
  <c r="C401" i="6"/>
  <c r="B401" i="6"/>
  <c r="C402" i="6"/>
  <c r="B402" i="6"/>
  <c r="C403" i="6"/>
  <c r="B403" i="6"/>
  <c r="C404" i="6"/>
  <c r="B404" i="6"/>
  <c r="C405" i="6"/>
  <c r="B405" i="6"/>
  <c r="C406" i="6"/>
  <c r="B406" i="6"/>
  <c r="C407" i="6"/>
  <c r="B407" i="6"/>
  <c r="C408" i="6"/>
  <c r="B408" i="6"/>
  <c r="C409" i="6"/>
  <c r="B409" i="6"/>
  <c r="C417" i="6"/>
  <c r="B417" i="6"/>
  <c r="C418" i="6"/>
  <c r="C429" i="6" s="1"/>
  <c r="B418" i="6"/>
  <c r="C419" i="6"/>
  <c r="B419" i="6"/>
  <c r="C420" i="6"/>
  <c r="B420" i="6"/>
  <c r="C421" i="6"/>
  <c r="B421" i="6"/>
  <c r="C422" i="6"/>
  <c r="B422" i="6"/>
  <c r="C423" i="6"/>
  <c r="B423" i="6"/>
  <c r="C424" i="6"/>
  <c r="B424" i="6"/>
  <c r="C425" i="6"/>
  <c r="B425" i="6"/>
  <c r="C426" i="6"/>
  <c r="B426" i="6"/>
  <c r="C427" i="6"/>
  <c r="B427" i="6"/>
  <c r="C428" i="6"/>
  <c r="B428" i="6"/>
  <c r="C442" i="6"/>
  <c r="B442" i="6"/>
  <c r="C443" i="6"/>
  <c r="B443" i="6"/>
  <c r="C444" i="6"/>
  <c r="B444" i="6"/>
  <c r="C445" i="6"/>
  <c r="B445" i="6"/>
  <c r="C446" i="6"/>
  <c r="C454" i="6" s="1"/>
  <c r="B446" i="6"/>
  <c r="C447" i="6"/>
  <c r="B447" i="6"/>
  <c r="C448" i="6"/>
  <c r="B448" i="6"/>
  <c r="C449" i="6"/>
  <c r="B449" i="6"/>
  <c r="C450" i="6"/>
  <c r="B450" i="6"/>
  <c r="C451" i="6"/>
  <c r="B451" i="6"/>
  <c r="C452" i="6"/>
  <c r="B452" i="6"/>
  <c r="C453" i="6"/>
  <c r="B453" i="6"/>
  <c r="C461" i="6"/>
  <c r="B461" i="6"/>
  <c r="C462" i="6"/>
  <c r="B462" i="6"/>
  <c r="C463" i="6"/>
  <c r="B463" i="6"/>
  <c r="C464" i="6"/>
  <c r="B464" i="6"/>
  <c r="C465" i="6"/>
  <c r="B465" i="6"/>
  <c r="C466" i="6"/>
  <c r="B466" i="6"/>
  <c r="C467" i="6"/>
  <c r="B467" i="6"/>
  <c r="C468" i="6"/>
  <c r="B468" i="6"/>
  <c r="C469" i="6"/>
  <c r="B469" i="6"/>
  <c r="C470" i="6"/>
  <c r="B470" i="6"/>
  <c r="C471" i="6"/>
  <c r="B471" i="6"/>
  <c r="C472" i="6"/>
  <c r="B472" i="6"/>
  <c r="C480" i="6"/>
  <c r="C492" i="6" s="1"/>
  <c r="B480" i="6"/>
  <c r="C481" i="6"/>
  <c r="B481" i="6"/>
  <c r="C482" i="6"/>
  <c r="B482" i="6"/>
  <c r="C483" i="6"/>
  <c r="B483" i="6"/>
  <c r="C484" i="6"/>
  <c r="B484" i="6"/>
  <c r="C485" i="6"/>
  <c r="B485" i="6"/>
  <c r="C486" i="6"/>
  <c r="B486" i="6"/>
  <c r="C487" i="6"/>
  <c r="B487" i="6"/>
  <c r="C488" i="6"/>
  <c r="B488" i="6"/>
  <c r="C489" i="6"/>
  <c r="B489" i="6"/>
  <c r="C490" i="6"/>
  <c r="B490" i="6"/>
  <c r="C491" i="6"/>
  <c r="B491" i="6"/>
  <c r="C505" i="6"/>
  <c r="C517" i="6" s="1"/>
  <c r="B505" i="6"/>
  <c r="C506" i="6"/>
  <c r="B506" i="6"/>
  <c r="C507" i="6"/>
  <c r="B507" i="6"/>
  <c r="C508" i="6"/>
  <c r="B508" i="6"/>
  <c r="C509" i="6"/>
  <c r="B509" i="6"/>
  <c r="C510" i="6"/>
  <c r="B510" i="6"/>
  <c r="C511" i="6"/>
  <c r="B511" i="6"/>
  <c r="C512" i="6"/>
  <c r="B512" i="6"/>
  <c r="C513" i="6"/>
  <c r="B513" i="6"/>
  <c r="C514" i="6"/>
  <c r="B514" i="6"/>
  <c r="C515" i="6"/>
  <c r="B515" i="6"/>
  <c r="C516" i="6"/>
  <c r="B516" i="6"/>
  <c r="C524" i="6"/>
  <c r="B524" i="6"/>
  <c r="C525" i="6"/>
  <c r="B525" i="6"/>
  <c r="C526" i="6"/>
  <c r="B526" i="6"/>
  <c r="C527" i="6"/>
  <c r="B527" i="6"/>
  <c r="C528" i="6"/>
  <c r="B528" i="6"/>
  <c r="C529" i="6"/>
  <c r="B529" i="6"/>
  <c r="C530" i="6"/>
  <c r="B530" i="6"/>
  <c r="C531" i="6"/>
  <c r="B531" i="6"/>
  <c r="C532" i="6"/>
  <c r="B532" i="6"/>
  <c r="C533" i="6"/>
  <c r="B533" i="6"/>
  <c r="C534" i="6"/>
  <c r="B534" i="6"/>
  <c r="C535" i="6"/>
  <c r="B535" i="6"/>
  <c r="C543" i="6"/>
  <c r="C555" i="6" s="1"/>
  <c r="B543" i="6"/>
  <c r="C544" i="6"/>
  <c r="B544" i="6"/>
  <c r="C545" i="6"/>
  <c r="B545" i="6"/>
  <c r="C546" i="6"/>
  <c r="B546" i="6"/>
  <c r="C547" i="6"/>
  <c r="B547" i="6"/>
  <c r="C548" i="6"/>
  <c r="B548" i="6"/>
  <c r="C549" i="6"/>
  <c r="B549" i="6"/>
  <c r="C550" i="6"/>
  <c r="B550" i="6"/>
  <c r="C551" i="6"/>
  <c r="B551" i="6"/>
  <c r="C552" i="6"/>
  <c r="B552" i="6"/>
  <c r="C553" i="6"/>
  <c r="B553" i="6"/>
  <c r="C554" i="6"/>
  <c r="B554" i="6"/>
  <c r="L480" i="6"/>
  <c r="L379" i="6"/>
  <c r="B313" i="6"/>
  <c r="L315" i="6"/>
  <c r="L273" i="6"/>
  <c r="L191" i="6"/>
  <c r="D38" i="6"/>
  <c r="D37" i="6"/>
  <c r="I34" i="6"/>
  <c r="I33" i="6"/>
  <c r="I32" i="6"/>
  <c r="I31" i="6"/>
  <c r="I30" i="6"/>
  <c r="I29" i="6"/>
  <c r="I28" i="6"/>
  <c r="I27" i="6"/>
  <c r="C45" i="1"/>
  <c r="A55" i="1"/>
  <c r="E35" i="3"/>
  <c r="E34" i="3"/>
  <c r="E33" i="3"/>
  <c r="E32" i="3"/>
  <c r="E31" i="3"/>
  <c r="E30" i="3"/>
  <c r="E29" i="3"/>
  <c r="E28" i="3"/>
  <c r="E27" i="3"/>
  <c r="E26" i="3"/>
  <c r="J34" i="3"/>
  <c r="J33" i="3"/>
  <c r="J32" i="3"/>
  <c r="J31" i="3"/>
  <c r="J30" i="3"/>
  <c r="J29" i="3"/>
  <c r="J28" i="3"/>
  <c r="J27" i="3"/>
  <c r="J26" i="3"/>
  <c r="I26" i="6"/>
  <c r="I15" i="3"/>
  <c r="I16" i="3"/>
  <c r="I17" i="3"/>
  <c r="I18" i="3"/>
  <c r="F15" i="3"/>
  <c r="F16" i="3"/>
  <c r="F17" i="3"/>
  <c r="F18" i="3"/>
  <c r="H15" i="6"/>
  <c r="H16" i="6"/>
  <c r="H17" i="6"/>
  <c r="H18" i="6"/>
  <c r="F15" i="6"/>
  <c r="F16" i="6"/>
  <c r="F17" i="6"/>
  <c r="F18" i="6"/>
  <c r="C55" i="6"/>
  <c r="C8" i="6"/>
  <c r="F35" i="6"/>
  <c r="F34" i="6"/>
  <c r="F33" i="6"/>
  <c r="F32" i="6"/>
  <c r="F31" i="6"/>
  <c r="F30" i="6"/>
  <c r="F29" i="6"/>
  <c r="F28" i="6"/>
  <c r="F27" i="6"/>
  <c r="B68" i="3"/>
  <c r="D68" i="3" s="1"/>
  <c r="E68" i="3" s="1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H87" i="3"/>
  <c r="I87" i="3"/>
  <c r="H88" i="3"/>
  <c r="I88" i="3"/>
  <c r="H89" i="3"/>
  <c r="I89" i="3"/>
  <c r="H90" i="3"/>
  <c r="I90" i="3"/>
  <c r="H91" i="3"/>
  <c r="I91" i="3"/>
  <c r="H92" i="3"/>
  <c r="I92" i="3"/>
  <c r="H93" i="3"/>
  <c r="I93" i="3"/>
  <c r="H94" i="3"/>
  <c r="I94" i="3"/>
  <c r="H95" i="3"/>
  <c r="I95" i="3"/>
  <c r="H96" i="3"/>
  <c r="I96" i="3"/>
  <c r="H97" i="3"/>
  <c r="I97" i="3"/>
  <c r="H98" i="3"/>
  <c r="I98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H117" i="3"/>
  <c r="I117" i="3"/>
  <c r="H118" i="3"/>
  <c r="I118" i="3"/>
  <c r="H119" i="3"/>
  <c r="I119" i="3"/>
  <c r="H120" i="3"/>
  <c r="I120" i="3"/>
  <c r="I129" i="3" s="1"/>
  <c r="H121" i="3"/>
  <c r="I121" i="3"/>
  <c r="H122" i="3"/>
  <c r="I122" i="3"/>
  <c r="H123" i="3"/>
  <c r="I123" i="3"/>
  <c r="H124" i="3"/>
  <c r="I124" i="3"/>
  <c r="H125" i="3"/>
  <c r="I125" i="3"/>
  <c r="H126" i="3"/>
  <c r="I126" i="3"/>
  <c r="H127" i="3"/>
  <c r="I127" i="3"/>
  <c r="H128" i="3"/>
  <c r="I128" i="3"/>
  <c r="B136" i="3"/>
  <c r="C136" i="3"/>
  <c r="B137" i="3"/>
  <c r="C137" i="3"/>
  <c r="B138" i="3"/>
  <c r="C138" i="3"/>
  <c r="B139" i="3"/>
  <c r="B148" i="3" s="1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H136" i="3"/>
  <c r="I136" i="3"/>
  <c r="H137" i="3"/>
  <c r="I137" i="3"/>
  <c r="H138" i="3"/>
  <c r="I138" i="3"/>
  <c r="H139" i="3"/>
  <c r="I139" i="3"/>
  <c r="H140" i="3"/>
  <c r="I140" i="3"/>
  <c r="H141" i="3"/>
  <c r="I141" i="3"/>
  <c r="H142" i="3"/>
  <c r="I142" i="3"/>
  <c r="H143" i="3"/>
  <c r="I143" i="3"/>
  <c r="H144" i="3"/>
  <c r="I144" i="3"/>
  <c r="H145" i="3"/>
  <c r="I145" i="3"/>
  <c r="H146" i="3"/>
  <c r="I146" i="3"/>
  <c r="H147" i="3"/>
  <c r="I147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H166" i="3"/>
  <c r="I166" i="3"/>
  <c r="H167" i="3"/>
  <c r="I167" i="3"/>
  <c r="H168" i="3"/>
  <c r="I168" i="3"/>
  <c r="H169" i="3"/>
  <c r="I169" i="3"/>
  <c r="H170" i="3"/>
  <c r="I170" i="3"/>
  <c r="H171" i="3"/>
  <c r="I171" i="3"/>
  <c r="H172" i="3"/>
  <c r="I172" i="3"/>
  <c r="H173" i="3"/>
  <c r="I173" i="3"/>
  <c r="H174" i="3"/>
  <c r="I174" i="3"/>
  <c r="H175" i="3"/>
  <c r="I175" i="3"/>
  <c r="H176" i="3"/>
  <c r="I176" i="3"/>
  <c r="H177" i="3"/>
  <c r="I177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H185" i="3"/>
  <c r="I185" i="3"/>
  <c r="H186" i="3"/>
  <c r="I186" i="3"/>
  <c r="H187" i="3"/>
  <c r="I187" i="3"/>
  <c r="H188" i="3"/>
  <c r="I188" i="3"/>
  <c r="H189" i="3"/>
  <c r="I189" i="3"/>
  <c r="H190" i="3"/>
  <c r="I190" i="3"/>
  <c r="H191" i="3"/>
  <c r="I191" i="3"/>
  <c r="H192" i="3"/>
  <c r="I192" i="3"/>
  <c r="H193" i="3"/>
  <c r="I193" i="3"/>
  <c r="H194" i="3"/>
  <c r="I194" i="3"/>
  <c r="H195" i="3"/>
  <c r="I195" i="3"/>
  <c r="H196" i="3"/>
  <c r="I196" i="3"/>
  <c r="B215" i="3"/>
  <c r="C215" i="3"/>
  <c r="B216" i="3"/>
  <c r="C216" i="3"/>
  <c r="B217" i="3"/>
  <c r="C217" i="3"/>
  <c r="B218" i="3"/>
  <c r="C218" i="3"/>
  <c r="B219" i="3"/>
  <c r="C219" i="3"/>
  <c r="C227" i="3" s="1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H215" i="3"/>
  <c r="I215" i="3"/>
  <c r="H216" i="3"/>
  <c r="I216" i="3"/>
  <c r="H217" i="3"/>
  <c r="H227" i="3" s="1"/>
  <c r="I217" i="3"/>
  <c r="H218" i="3"/>
  <c r="I218" i="3"/>
  <c r="H219" i="3"/>
  <c r="I219" i="3"/>
  <c r="H220" i="3"/>
  <c r="I220" i="3"/>
  <c r="H221" i="3"/>
  <c r="I221" i="3"/>
  <c r="H222" i="3"/>
  <c r="I222" i="3"/>
  <c r="H223" i="3"/>
  <c r="I223" i="3"/>
  <c r="H224" i="3"/>
  <c r="I224" i="3"/>
  <c r="I227" i="3" s="1"/>
  <c r="H225" i="3"/>
  <c r="I225" i="3"/>
  <c r="H226" i="3"/>
  <c r="I226" i="3"/>
  <c r="B234" i="3"/>
  <c r="B246" i="3" s="1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H234" i="3"/>
  <c r="I234" i="3"/>
  <c r="H235" i="3"/>
  <c r="I235" i="3"/>
  <c r="H236" i="3"/>
  <c r="I236" i="3"/>
  <c r="H237" i="3"/>
  <c r="I237" i="3"/>
  <c r="H238" i="3"/>
  <c r="I238" i="3"/>
  <c r="H239" i="3"/>
  <c r="I239" i="3"/>
  <c r="H240" i="3"/>
  <c r="I240" i="3"/>
  <c r="H241" i="3"/>
  <c r="I241" i="3"/>
  <c r="H242" i="3"/>
  <c r="I242" i="3"/>
  <c r="H243" i="3"/>
  <c r="I243" i="3"/>
  <c r="H244" i="3"/>
  <c r="I244" i="3"/>
  <c r="H245" i="3"/>
  <c r="I245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H264" i="3"/>
  <c r="I264" i="3"/>
  <c r="H265" i="3"/>
  <c r="I265" i="3"/>
  <c r="H266" i="3"/>
  <c r="I266" i="3"/>
  <c r="H267" i="3"/>
  <c r="I267" i="3"/>
  <c r="H268" i="3"/>
  <c r="I268" i="3"/>
  <c r="H269" i="3"/>
  <c r="I269" i="3"/>
  <c r="H270" i="3"/>
  <c r="I270" i="3"/>
  <c r="H271" i="3"/>
  <c r="I271" i="3"/>
  <c r="H272" i="3"/>
  <c r="I272" i="3"/>
  <c r="H273" i="3"/>
  <c r="I273" i="3"/>
  <c r="H274" i="3"/>
  <c r="I274" i="3"/>
  <c r="H275" i="3"/>
  <c r="I275" i="3"/>
  <c r="B283" i="3"/>
  <c r="C283" i="3"/>
  <c r="C295" i="3" s="1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H283" i="3"/>
  <c r="H295" i="3" s="1"/>
  <c r="I283" i="3"/>
  <c r="H284" i="3"/>
  <c r="I284" i="3"/>
  <c r="H285" i="3"/>
  <c r="I285" i="3"/>
  <c r="H286" i="3"/>
  <c r="I286" i="3"/>
  <c r="H287" i="3"/>
  <c r="I287" i="3"/>
  <c r="H288" i="3"/>
  <c r="I288" i="3"/>
  <c r="H289" i="3"/>
  <c r="I289" i="3"/>
  <c r="H290" i="3"/>
  <c r="I290" i="3"/>
  <c r="H291" i="3"/>
  <c r="I291" i="3"/>
  <c r="H292" i="3"/>
  <c r="I292" i="3"/>
  <c r="H293" i="3"/>
  <c r="I293" i="3"/>
  <c r="H294" i="3"/>
  <c r="I294" i="3"/>
  <c r="B313" i="3"/>
  <c r="C313" i="3"/>
  <c r="B314" i="3"/>
  <c r="B325" i="3" s="1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H313" i="3"/>
  <c r="I313" i="3"/>
  <c r="H314" i="3"/>
  <c r="I314" i="3"/>
  <c r="H315" i="3"/>
  <c r="I315" i="3"/>
  <c r="H316" i="3"/>
  <c r="I316" i="3"/>
  <c r="H317" i="3"/>
  <c r="I317" i="3"/>
  <c r="H318" i="3"/>
  <c r="I318" i="3"/>
  <c r="H319" i="3"/>
  <c r="I319" i="3"/>
  <c r="H320" i="3"/>
  <c r="I320" i="3"/>
  <c r="H321" i="3"/>
  <c r="I321" i="3"/>
  <c r="H322" i="3"/>
  <c r="I322" i="3"/>
  <c r="H323" i="3"/>
  <c r="I323" i="3"/>
  <c r="H324" i="3"/>
  <c r="I324" i="3"/>
  <c r="B332" i="3"/>
  <c r="C332" i="3"/>
  <c r="B333" i="3"/>
  <c r="C333" i="3"/>
  <c r="B334" i="3"/>
  <c r="C334" i="3"/>
  <c r="B335" i="3"/>
  <c r="C335" i="3"/>
  <c r="B336" i="3"/>
  <c r="C336" i="3"/>
  <c r="B337" i="3"/>
  <c r="C337" i="3"/>
  <c r="B338" i="3"/>
  <c r="C338" i="3"/>
  <c r="B339" i="3"/>
  <c r="C339" i="3"/>
  <c r="B340" i="3"/>
  <c r="C340" i="3"/>
  <c r="B341" i="3"/>
  <c r="C341" i="3"/>
  <c r="B342" i="3"/>
  <c r="C342" i="3"/>
  <c r="B343" i="3"/>
  <c r="C343" i="3"/>
  <c r="H332" i="3"/>
  <c r="H344" i="3" s="1"/>
  <c r="I332" i="3"/>
  <c r="I344" i="3" s="1"/>
  <c r="H333" i="3"/>
  <c r="I333" i="3"/>
  <c r="H334" i="3"/>
  <c r="I334" i="3"/>
  <c r="H335" i="3"/>
  <c r="I335" i="3"/>
  <c r="H336" i="3"/>
  <c r="I336" i="3"/>
  <c r="H337" i="3"/>
  <c r="I337" i="3"/>
  <c r="H338" i="3"/>
  <c r="I338" i="3"/>
  <c r="H339" i="3"/>
  <c r="I339" i="3"/>
  <c r="H340" i="3"/>
  <c r="I340" i="3"/>
  <c r="H341" i="3"/>
  <c r="I341" i="3"/>
  <c r="H342" i="3"/>
  <c r="I342" i="3"/>
  <c r="H343" i="3"/>
  <c r="I343" i="3"/>
  <c r="H46" i="6"/>
  <c r="J42" i="3"/>
  <c r="H42" i="6"/>
  <c r="H42" i="1"/>
  <c r="C3" i="3"/>
  <c r="A345" i="3"/>
  <c r="G345" i="3"/>
  <c r="G346" i="3"/>
  <c r="G347" i="3"/>
  <c r="G348" i="3"/>
  <c r="A346" i="3"/>
  <c r="A347" i="3"/>
  <c r="A348" i="3"/>
  <c r="G326" i="3"/>
  <c r="G327" i="3"/>
  <c r="G328" i="3"/>
  <c r="G329" i="3"/>
  <c r="A326" i="3"/>
  <c r="A327" i="3"/>
  <c r="A328" i="3"/>
  <c r="A329" i="3"/>
  <c r="G296" i="3"/>
  <c r="G297" i="3"/>
  <c r="G298" i="3"/>
  <c r="G299" i="3"/>
  <c r="A296" i="3"/>
  <c r="A297" i="3"/>
  <c r="A298" i="3"/>
  <c r="A299" i="3"/>
  <c r="G277" i="3"/>
  <c r="G278" i="3"/>
  <c r="G279" i="3"/>
  <c r="G280" i="3"/>
  <c r="A277" i="3"/>
  <c r="A278" i="3"/>
  <c r="A279" i="3"/>
  <c r="A280" i="3"/>
  <c r="G247" i="3"/>
  <c r="G248" i="3"/>
  <c r="G249" i="3"/>
  <c r="G250" i="3"/>
  <c r="A247" i="3"/>
  <c r="A248" i="3"/>
  <c r="A249" i="3"/>
  <c r="A250" i="3"/>
  <c r="G228" i="3"/>
  <c r="G229" i="3"/>
  <c r="G230" i="3"/>
  <c r="G231" i="3"/>
  <c r="A228" i="3"/>
  <c r="A229" i="3"/>
  <c r="A230" i="3"/>
  <c r="A231" i="3"/>
  <c r="G198" i="3"/>
  <c r="G199" i="3"/>
  <c r="G200" i="3"/>
  <c r="G201" i="3"/>
  <c r="A198" i="3"/>
  <c r="A199" i="3"/>
  <c r="A200" i="3"/>
  <c r="A201" i="3"/>
  <c r="G179" i="3"/>
  <c r="G180" i="3"/>
  <c r="G181" i="3"/>
  <c r="G182" i="3"/>
  <c r="A179" i="3"/>
  <c r="A180" i="3"/>
  <c r="A181" i="3"/>
  <c r="A182" i="3"/>
  <c r="G149" i="3"/>
  <c r="G150" i="3"/>
  <c r="G151" i="3"/>
  <c r="G152" i="3"/>
  <c r="A149" i="3"/>
  <c r="A150" i="3"/>
  <c r="A151" i="3"/>
  <c r="A152" i="3"/>
  <c r="G130" i="3"/>
  <c r="G131" i="3"/>
  <c r="G132" i="3"/>
  <c r="G133" i="3"/>
  <c r="A130" i="3"/>
  <c r="A131" i="3"/>
  <c r="A132" i="3"/>
  <c r="A133" i="3"/>
  <c r="G100" i="3"/>
  <c r="G101" i="3"/>
  <c r="G102" i="3"/>
  <c r="G103" i="3"/>
  <c r="A100" i="3"/>
  <c r="A101" i="3"/>
  <c r="A102" i="3"/>
  <c r="A103" i="3"/>
  <c r="G81" i="3"/>
  <c r="G82" i="3"/>
  <c r="G83" i="3"/>
  <c r="G84" i="3"/>
  <c r="A81" i="3"/>
  <c r="A82" i="3"/>
  <c r="A83" i="3"/>
  <c r="A84" i="3"/>
  <c r="D68" i="1"/>
  <c r="D69" i="1"/>
  <c r="H50" i="1"/>
  <c r="J50" i="3"/>
  <c r="I50" i="3"/>
  <c r="G50" i="6"/>
  <c r="G50" i="1"/>
  <c r="H49" i="6"/>
  <c r="C41" i="3"/>
  <c r="J46" i="3"/>
  <c r="J48" i="3"/>
  <c r="I46" i="3"/>
  <c r="I48" i="3"/>
  <c r="A40" i="3"/>
  <c r="C9" i="3"/>
  <c r="C9" i="6"/>
  <c r="D41" i="6"/>
  <c r="D41" i="1"/>
  <c r="C37" i="3"/>
  <c r="C37" i="6"/>
  <c r="H46" i="1"/>
  <c r="J43" i="3"/>
  <c r="O7" i="3"/>
  <c r="O5" i="3" s="1"/>
  <c r="G45" i="1"/>
  <c r="I45" i="3"/>
  <c r="J45" i="3"/>
  <c r="G45" i="6"/>
  <c r="G3" i="6"/>
  <c r="G43" i="6"/>
  <c r="H43" i="1"/>
  <c r="J47" i="3"/>
  <c r="H49" i="1"/>
  <c r="H48" i="1"/>
  <c r="H47" i="1"/>
  <c r="I47" i="3"/>
  <c r="I44" i="3"/>
  <c r="I43" i="3"/>
  <c r="I42" i="3"/>
  <c r="G47" i="6"/>
  <c r="G46" i="6"/>
  <c r="G42" i="6"/>
  <c r="G43" i="1"/>
  <c r="G42" i="1"/>
  <c r="G46" i="1"/>
  <c r="J49" i="3"/>
  <c r="J44" i="3"/>
  <c r="D13" i="6"/>
  <c r="H44" i="6"/>
  <c r="H48" i="6"/>
  <c r="H47" i="6"/>
  <c r="D23" i="3"/>
  <c r="D22" i="3"/>
  <c r="D21" i="3"/>
  <c r="D20" i="3"/>
  <c r="D18" i="3"/>
  <c r="D17" i="3"/>
  <c r="D16" i="3"/>
  <c r="D15" i="3"/>
  <c r="G49" i="1"/>
  <c r="G48" i="1"/>
  <c r="G47" i="1"/>
  <c r="G44" i="1"/>
  <c r="H44" i="1"/>
  <c r="H45" i="1"/>
  <c r="D70" i="1"/>
  <c r="D71" i="1"/>
  <c r="D72" i="1"/>
  <c r="D80" i="1"/>
  <c r="D73" i="1"/>
  <c r="D74" i="1"/>
  <c r="D75" i="1"/>
  <c r="D76" i="1"/>
  <c r="D77" i="1"/>
  <c r="D78" i="1"/>
  <c r="D79" i="1"/>
  <c r="I87" i="1"/>
  <c r="I88" i="1"/>
  <c r="I89" i="1"/>
  <c r="I90" i="1"/>
  <c r="I91" i="1"/>
  <c r="I92" i="1"/>
  <c r="I93" i="1"/>
  <c r="I94" i="1"/>
  <c r="I95" i="1"/>
  <c r="I96" i="1"/>
  <c r="I97" i="1"/>
  <c r="I98" i="1"/>
  <c r="D87" i="1"/>
  <c r="D88" i="1"/>
  <c r="D89" i="1"/>
  <c r="D90" i="1"/>
  <c r="D91" i="1"/>
  <c r="D92" i="1"/>
  <c r="D93" i="1"/>
  <c r="D94" i="1"/>
  <c r="D95" i="1"/>
  <c r="D96" i="1"/>
  <c r="D97" i="1"/>
  <c r="D98" i="1"/>
  <c r="I68" i="1"/>
  <c r="I69" i="1"/>
  <c r="I70" i="1"/>
  <c r="I71" i="1"/>
  <c r="I72" i="1"/>
  <c r="I73" i="1"/>
  <c r="I74" i="1"/>
  <c r="I75" i="1"/>
  <c r="I76" i="1"/>
  <c r="I77" i="1"/>
  <c r="I78" i="1"/>
  <c r="I79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I136" i="1"/>
  <c r="I148" i="1"/>
  <c r="I137" i="1"/>
  <c r="I138" i="1"/>
  <c r="I139" i="1"/>
  <c r="I140" i="1"/>
  <c r="I141" i="1"/>
  <c r="I142" i="1"/>
  <c r="I143" i="1"/>
  <c r="I144" i="1"/>
  <c r="I145" i="1"/>
  <c r="I146" i="1"/>
  <c r="I147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D283" i="1"/>
  <c r="D295" i="1"/>
  <c r="D284" i="1"/>
  <c r="D285" i="1"/>
  <c r="D286" i="1"/>
  <c r="D287" i="1"/>
  <c r="D288" i="1"/>
  <c r="D289" i="1"/>
  <c r="D290" i="1"/>
  <c r="D291" i="1"/>
  <c r="D292" i="1"/>
  <c r="D293" i="1"/>
  <c r="D294" i="1"/>
  <c r="I283" i="1"/>
  <c r="I284" i="1"/>
  <c r="I285" i="1"/>
  <c r="I286" i="1"/>
  <c r="I295" i="1"/>
  <c r="I287" i="1"/>
  <c r="I288" i="1"/>
  <c r="I289" i="1"/>
  <c r="I290" i="1"/>
  <c r="I291" i="1"/>
  <c r="I292" i="1"/>
  <c r="I293" i="1"/>
  <c r="I294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H305" i="1"/>
  <c r="H256" i="1"/>
  <c r="H207" i="1"/>
  <c r="H158" i="1"/>
  <c r="H109" i="1"/>
  <c r="H60" i="1"/>
  <c r="C305" i="1"/>
  <c r="C306" i="1"/>
  <c r="C256" i="1"/>
  <c r="C257" i="1"/>
  <c r="C207" i="1"/>
  <c r="C208" i="1"/>
  <c r="C158" i="1"/>
  <c r="C159" i="1"/>
  <c r="C109" i="1"/>
  <c r="C110" i="1"/>
  <c r="C60" i="1"/>
  <c r="C61" i="1"/>
  <c r="H344" i="1"/>
  <c r="G344" i="1"/>
  <c r="C344" i="1"/>
  <c r="B344" i="1"/>
  <c r="H325" i="1"/>
  <c r="G325" i="1"/>
  <c r="C325" i="1"/>
  <c r="B325" i="1"/>
  <c r="H295" i="1"/>
  <c r="G295" i="1"/>
  <c r="C295" i="1"/>
  <c r="B295" i="1"/>
  <c r="H276" i="1"/>
  <c r="G276" i="1"/>
  <c r="C276" i="1"/>
  <c r="B276" i="1"/>
  <c r="H246" i="1"/>
  <c r="G246" i="1"/>
  <c r="C246" i="1"/>
  <c r="B246" i="1"/>
  <c r="H227" i="1"/>
  <c r="G227" i="1"/>
  <c r="C227" i="1"/>
  <c r="B227" i="1"/>
  <c r="H197" i="1"/>
  <c r="G197" i="1"/>
  <c r="C197" i="1"/>
  <c r="B197" i="1"/>
  <c r="H178" i="1"/>
  <c r="G178" i="1"/>
  <c r="C178" i="1"/>
  <c r="B178" i="1"/>
  <c r="H148" i="1"/>
  <c r="G148" i="1"/>
  <c r="C148" i="1"/>
  <c r="B148" i="1"/>
  <c r="H129" i="1"/>
  <c r="G129" i="1"/>
  <c r="C129" i="1"/>
  <c r="B129" i="1"/>
  <c r="H99" i="1"/>
  <c r="G99" i="1"/>
  <c r="C99" i="1"/>
  <c r="B99" i="1"/>
  <c r="H80" i="1"/>
  <c r="G80" i="1"/>
  <c r="C80" i="1"/>
  <c r="B80" i="1"/>
  <c r="I49" i="3"/>
  <c r="I60" i="3"/>
  <c r="H330" i="3"/>
  <c r="B330" i="3"/>
  <c r="H311" i="3"/>
  <c r="B311" i="3"/>
  <c r="H281" i="3"/>
  <c r="B281" i="3"/>
  <c r="H262" i="3"/>
  <c r="B262" i="3"/>
  <c r="H232" i="3"/>
  <c r="B232" i="3"/>
  <c r="H213" i="3"/>
  <c r="B213" i="3"/>
  <c r="H183" i="3"/>
  <c r="B183" i="3"/>
  <c r="H164" i="3"/>
  <c r="B164" i="3"/>
  <c r="H134" i="3"/>
  <c r="B134" i="3"/>
  <c r="H115" i="3"/>
  <c r="B115" i="3"/>
  <c r="H66" i="3"/>
  <c r="H85" i="3"/>
  <c r="B85" i="3"/>
  <c r="B66" i="3"/>
  <c r="C55" i="3"/>
  <c r="J53" i="3"/>
  <c r="C43" i="3"/>
  <c r="H26" i="3"/>
  <c r="H27" i="3"/>
  <c r="H28" i="3"/>
  <c r="H29" i="3"/>
  <c r="H30" i="3"/>
  <c r="H31" i="3"/>
  <c r="H32" i="3"/>
  <c r="H33" i="3"/>
  <c r="H34" i="3"/>
  <c r="C26" i="3"/>
  <c r="C27" i="3"/>
  <c r="C28" i="3"/>
  <c r="C29" i="3"/>
  <c r="C30" i="3"/>
  <c r="C31" i="3"/>
  <c r="C32" i="3"/>
  <c r="C33" i="3"/>
  <c r="C34" i="3"/>
  <c r="C35" i="3"/>
  <c r="C6" i="3"/>
  <c r="C8" i="3"/>
  <c r="C4" i="3"/>
  <c r="I305" i="3"/>
  <c r="I256" i="3"/>
  <c r="I207" i="3"/>
  <c r="I158" i="3"/>
  <c r="I109" i="3"/>
  <c r="I3" i="3"/>
  <c r="H43" i="6"/>
  <c r="C6" i="6"/>
  <c r="G49" i="6"/>
  <c r="G48" i="6"/>
  <c r="G44" i="6"/>
  <c r="A100" i="6"/>
  <c r="A99" i="6"/>
  <c r="G26" i="6"/>
  <c r="G31" i="6"/>
  <c r="D20" i="6"/>
  <c r="D21" i="6"/>
  <c r="D22" i="6"/>
  <c r="D23" i="6"/>
  <c r="D15" i="6"/>
  <c r="D16" i="6"/>
  <c r="D17" i="6"/>
  <c r="D18" i="6"/>
  <c r="F26" i="6"/>
  <c r="G27" i="6"/>
  <c r="G28" i="6"/>
  <c r="G29" i="6"/>
  <c r="G30" i="6"/>
  <c r="G32" i="6"/>
  <c r="G33" i="6"/>
  <c r="G34" i="6"/>
  <c r="E35" i="6"/>
  <c r="E34" i="6"/>
  <c r="E33" i="6"/>
  <c r="E32" i="6"/>
  <c r="E31" i="6"/>
  <c r="E30" i="6"/>
  <c r="E29" i="6"/>
  <c r="E28" i="6"/>
  <c r="E27" i="6"/>
  <c r="H27" i="6"/>
  <c r="H28" i="6"/>
  <c r="H29" i="6"/>
  <c r="H30" i="6"/>
  <c r="H31" i="6"/>
  <c r="H32" i="6"/>
  <c r="H33" i="6"/>
  <c r="H34" i="6"/>
  <c r="H26" i="6"/>
  <c r="E26" i="6"/>
  <c r="F25" i="6"/>
  <c r="D26" i="6"/>
  <c r="D27" i="6"/>
  <c r="D28" i="6"/>
  <c r="D29" i="6"/>
  <c r="D30" i="6"/>
  <c r="D31" i="6"/>
  <c r="D32" i="6"/>
  <c r="D33" i="6"/>
  <c r="D34" i="6"/>
  <c r="D35" i="6"/>
  <c r="A25" i="6"/>
  <c r="A35" i="6"/>
  <c r="C43" i="6"/>
  <c r="A556" i="6"/>
  <c r="A557" i="6"/>
  <c r="A558" i="6"/>
  <c r="A559" i="6"/>
  <c r="A537" i="6"/>
  <c r="A538" i="6"/>
  <c r="A539" i="6"/>
  <c r="A540" i="6"/>
  <c r="A518" i="6"/>
  <c r="A519" i="6"/>
  <c r="A520" i="6"/>
  <c r="A521" i="6"/>
  <c r="A493" i="6"/>
  <c r="A494" i="6"/>
  <c r="A495" i="6"/>
  <c r="A496" i="6"/>
  <c r="A474" i="6"/>
  <c r="A475" i="6"/>
  <c r="A476" i="6"/>
  <c r="A477" i="6"/>
  <c r="A455" i="6"/>
  <c r="A456" i="6"/>
  <c r="A457" i="6"/>
  <c r="A458" i="6"/>
  <c r="A430" i="6"/>
  <c r="A431" i="6"/>
  <c r="A432" i="6"/>
  <c r="A433" i="6"/>
  <c r="A411" i="6"/>
  <c r="A412" i="6"/>
  <c r="A413" i="6"/>
  <c r="A414" i="6"/>
  <c r="A392" i="6"/>
  <c r="A393" i="6"/>
  <c r="A394" i="6"/>
  <c r="A395" i="6"/>
  <c r="A366" i="6"/>
  <c r="A367" i="6"/>
  <c r="A368" i="6"/>
  <c r="A369" i="6"/>
  <c r="A347" i="6"/>
  <c r="A348" i="6"/>
  <c r="A349" i="6"/>
  <c r="A350" i="6"/>
  <c r="A328" i="6"/>
  <c r="A329" i="6"/>
  <c r="A330" i="6"/>
  <c r="A331" i="6"/>
  <c r="A305" i="6"/>
  <c r="A306" i="6"/>
  <c r="A307" i="6"/>
  <c r="A308" i="6"/>
  <c r="A286" i="6"/>
  <c r="A287" i="6"/>
  <c r="A288" i="6"/>
  <c r="A289" i="6"/>
  <c r="A267" i="6"/>
  <c r="A268" i="6"/>
  <c r="A269" i="6"/>
  <c r="A270" i="6"/>
  <c r="A242" i="6"/>
  <c r="A243" i="6"/>
  <c r="A244" i="6"/>
  <c r="A245" i="6"/>
  <c r="A223" i="6"/>
  <c r="A224" i="6"/>
  <c r="A225" i="6"/>
  <c r="A226" i="6"/>
  <c r="A204" i="6"/>
  <c r="A205" i="6"/>
  <c r="A206" i="6"/>
  <c r="A207" i="6"/>
  <c r="A179" i="6"/>
  <c r="A180" i="6"/>
  <c r="A181" i="6"/>
  <c r="A182" i="6"/>
  <c r="A160" i="6"/>
  <c r="A161" i="6"/>
  <c r="A162" i="6"/>
  <c r="A163" i="6"/>
  <c r="A141" i="6"/>
  <c r="A142" i="6"/>
  <c r="A143" i="6"/>
  <c r="A144" i="6"/>
  <c r="A116" i="6"/>
  <c r="A117" i="6"/>
  <c r="A118" i="6"/>
  <c r="A119" i="6"/>
  <c r="A97" i="6"/>
  <c r="A98" i="6"/>
  <c r="A78" i="6"/>
  <c r="A79" i="6"/>
  <c r="A80" i="6"/>
  <c r="A81" i="6"/>
  <c r="C7" i="6"/>
  <c r="H53" i="6"/>
  <c r="G436" i="6"/>
  <c r="G373" i="6"/>
  <c r="C4" i="6"/>
  <c r="C3" i="6"/>
  <c r="B96" i="6"/>
  <c r="B140" i="6"/>
  <c r="B365" i="6"/>
  <c r="B241" i="6"/>
  <c r="I99" i="1"/>
  <c r="C123" i="6"/>
  <c r="D178" i="1"/>
  <c r="I197" i="1"/>
  <c r="D129" i="1"/>
  <c r="B80" i="3"/>
  <c r="C158" i="3"/>
  <c r="D227" i="1"/>
  <c r="D325" i="1"/>
  <c r="I276" i="1"/>
  <c r="C373" i="6"/>
  <c r="D276" i="1"/>
  <c r="I80" i="1"/>
  <c r="C285" i="6"/>
  <c r="G185" i="6"/>
  <c r="G248" i="6"/>
  <c r="C310" i="6"/>
  <c r="C122" i="6"/>
  <c r="C185" i="6"/>
  <c r="I300" i="1"/>
  <c r="I227" i="1"/>
  <c r="I246" i="1"/>
  <c r="D246" i="1"/>
  <c r="I251" i="1"/>
  <c r="I178" i="1"/>
  <c r="D197" i="1"/>
  <c r="I129" i="1"/>
  <c r="D148" i="1"/>
  <c r="I153" i="1"/>
  <c r="D99" i="1"/>
  <c r="I104" i="1"/>
  <c r="C207" i="3"/>
  <c r="I325" i="1"/>
  <c r="I344" i="1"/>
  <c r="D344" i="1"/>
  <c r="I246" i="3"/>
  <c r="C311" i="6"/>
  <c r="D69" i="3"/>
  <c r="B304" i="6"/>
  <c r="I349" i="1"/>
  <c r="K1" i="1"/>
  <c r="I202" i="1"/>
  <c r="B115" i="6"/>
  <c r="C159" i="6"/>
  <c r="B203" i="6"/>
  <c r="C203" i="6"/>
  <c r="C241" i="6"/>
  <c r="C222" i="6"/>
  <c r="D70" i="3"/>
  <c r="E70" i="3" s="1"/>
  <c r="E69" i="3"/>
  <c r="C276" i="3"/>
  <c r="C99" i="3"/>
  <c r="B266" i="6"/>
  <c r="H178" i="3"/>
  <c r="B295" i="3"/>
  <c r="C178" i="3"/>
  <c r="B555" i="6"/>
  <c r="B391" i="6"/>
  <c r="B129" i="3"/>
  <c r="B473" i="6"/>
  <c r="B344" i="3"/>
  <c r="B410" i="6"/>
  <c r="C249" i="6"/>
  <c r="C500" i="6"/>
  <c r="D71" i="3"/>
  <c r="C208" i="3" l="1"/>
  <c r="C159" i="3"/>
  <c r="C61" i="3"/>
  <c r="C110" i="3"/>
  <c r="C306" i="3"/>
  <c r="C257" i="3"/>
  <c r="B454" i="6"/>
  <c r="C365" i="6"/>
  <c r="C346" i="6"/>
  <c r="C344" i="3"/>
  <c r="I325" i="3"/>
  <c r="C325" i="3"/>
  <c r="B227" i="3"/>
  <c r="I197" i="3"/>
  <c r="C197" i="3"/>
  <c r="B536" i="6"/>
  <c r="B517" i="6"/>
  <c r="C96" i="6"/>
  <c r="C77" i="6"/>
  <c r="D65" i="6"/>
  <c r="E65" i="6"/>
  <c r="E71" i="3"/>
  <c r="D72" i="3"/>
  <c r="J51" i="3"/>
  <c r="H51" i="1"/>
  <c r="B99" i="3"/>
  <c r="H80" i="3"/>
  <c r="C536" i="6"/>
  <c r="C473" i="6"/>
  <c r="I276" i="3"/>
  <c r="C246" i="3"/>
  <c r="H276" i="3"/>
  <c r="B276" i="3"/>
  <c r="I300" i="3" s="1"/>
  <c r="H197" i="3"/>
  <c r="G122" i="6"/>
  <c r="G310" i="6"/>
  <c r="G59" i="6"/>
  <c r="G499" i="6"/>
  <c r="H51" i="6"/>
  <c r="I349" i="3"/>
  <c r="H246" i="3"/>
  <c r="B178" i="3"/>
  <c r="I295" i="3"/>
  <c r="I178" i="3"/>
  <c r="B492" i="6"/>
  <c r="C327" i="6"/>
  <c r="B285" i="6"/>
  <c r="B222" i="6"/>
  <c r="B178" i="6"/>
  <c r="B159" i="6"/>
  <c r="C248" i="6"/>
  <c r="C499" i="6"/>
  <c r="C59" i="6"/>
  <c r="C436" i="6"/>
  <c r="H325" i="3"/>
  <c r="B197" i="3"/>
  <c r="H148" i="3"/>
  <c r="C148" i="3"/>
  <c r="H129" i="3"/>
  <c r="H99" i="3"/>
  <c r="B346" i="6"/>
  <c r="B327" i="6"/>
  <c r="C115" i="6"/>
  <c r="C186" i="6"/>
  <c r="C437" i="6"/>
  <c r="C60" i="6"/>
  <c r="C374" i="6"/>
  <c r="C305" i="3"/>
  <c r="C256" i="3"/>
  <c r="C109" i="3"/>
  <c r="C60" i="3"/>
  <c r="I148" i="3"/>
  <c r="C129" i="3"/>
  <c r="I153" i="3" s="1"/>
  <c r="I99" i="3"/>
  <c r="I80" i="3"/>
  <c r="C80" i="3"/>
  <c r="C410" i="6"/>
  <c r="C391" i="6"/>
  <c r="B77" i="6"/>
  <c r="B429" i="6"/>
  <c r="C266" i="6"/>
  <c r="C178" i="6"/>
  <c r="C140" i="6"/>
  <c r="D73" i="3" l="1"/>
  <c r="E72" i="3"/>
  <c r="I104" i="3"/>
  <c r="I251" i="3"/>
  <c r="I202" i="3"/>
  <c r="F65" i="6"/>
  <c r="G65" i="6" l="1"/>
  <c r="O1" i="3"/>
  <c r="E73" i="3"/>
  <c r="D74" i="3"/>
  <c r="E74" i="3" l="1"/>
  <c r="D75" i="3"/>
  <c r="D66" i="6"/>
  <c r="H65" i="6"/>
  <c r="E66" i="6" l="1"/>
  <c r="F66" i="6"/>
  <c r="D76" i="3"/>
  <c r="E75" i="3"/>
  <c r="D77" i="3" l="1"/>
  <c r="E76" i="3"/>
  <c r="G66" i="6"/>
  <c r="H66" i="6" l="1"/>
  <c r="D67" i="6"/>
  <c r="E77" i="3"/>
  <c r="D78" i="3"/>
  <c r="E78" i="3" l="1"/>
  <c r="D79" i="3"/>
  <c r="F67" i="6"/>
  <c r="E67" i="6"/>
  <c r="I66" i="6"/>
  <c r="G67" i="6" l="1"/>
  <c r="E79" i="3"/>
  <c r="E80" i="3" s="1"/>
  <c r="J68" i="3"/>
  <c r="K68" i="3" l="1"/>
  <c r="J69" i="3"/>
  <c r="D68" i="6"/>
  <c r="H67" i="6"/>
  <c r="E68" i="6" l="1"/>
  <c r="F68" i="6"/>
  <c r="K69" i="3"/>
  <c r="J70" i="3"/>
  <c r="I67" i="6"/>
  <c r="K70" i="3" l="1"/>
  <c r="J71" i="3"/>
  <c r="G68" i="6"/>
  <c r="D69" i="6" l="1"/>
  <c r="H68" i="6"/>
  <c r="K71" i="3"/>
  <c r="J72" i="3"/>
  <c r="J73" i="3" l="1"/>
  <c r="K72" i="3"/>
  <c r="I68" i="6"/>
  <c r="E69" i="6"/>
  <c r="F69" i="6"/>
  <c r="G69" i="6" l="1"/>
  <c r="J74" i="3"/>
  <c r="K73" i="3"/>
  <c r="H69" i="6" l="1"/>
  <c r="I69" i="6" s="1"/>
  <c r="D70" i="6"/>
  <c r="K74" i="3"/>
  <c r="J75" i="3"/>
  <c r="J76" i="3" l="1"/>
  <c r="K75" i="3"/>
  <c r="F70" i="6"/>
  <c r="G70" i="6" s="1"/>
  <c r="E70" i="6"/>
  <c r="D71" i="6" l="1"/>
  <c r="H70" i="6"/>
  <c r="I70" i="6" s="1"/>
  <c r="J77" i="3"/>
  <c r="K76" i="3"/>
  <c r="E71" i="6" l="1"/>
  <c r="F71" i="6"/>
  <c r="G71" i="6" s="1"/>
  <c r="J78" i="3"/>
  <c r="K77" i="3"/>
  <c r="I71" i="6" l="1"/>
  <c r="H71" i="6"/>
  <c r="D72" i="6"/>
  <c r="J79" i="3"/>
  <c r="K78" i="3"/>
  <c r="D87" i="3" l="1"/>
  <c r="K79" i="3"/>
  <c r="K80" i="3" s="1"/>
  <c r="E72" i="6"/>
  <c r="F72" i="6"/>
  <c r="G72" i="6" s="1"/>
  <c r="D73" i="6" l="1"/>
  <c r="H72" i="6"/>
  <c r="I72" i="6" s="1"/>
  <c r="E87" i="3"/>
  <c r="D88" i="3"/>
  <c r="E88" i="3" l="1"/>
  <c r="D89" i="3"/>
  <c r="E73" i="6"/>
  <c r="F73" i="6"/>
  <c r="G73" i="6" s="1"/>
  <c r="H73" i="6" l="1"/>
  <c r="I73" i="6" s="1"/>
  <c r="D74" i="6"/>
  <c r="E89" i="3"/>
  <c r="D90" i="3"/>
  <c r="F74" i="6" l="1"/>
  <c r="G74" i="6" s="1"/>
  <c r="E74" i="6"/>
  <c r="E90" i="3"/>
  <c r="D91" i="3"/>
  <c r="E91" i="3" l="1"/>
  <c r="D92" i="3"/>
  <c r="H74" i="6"/>
  <c r="I74" i="6" s="1"/>
  <c r="D75" i="6"/>
  <c r="E92" i="3" l="1"/>
  <c r="D93" i="3"/>
  <c r="F75" i="6"/>
  <c r="G75" i="6" s="1"/>
  <c r="E75" i="6"/>
  <c r="D76" i="6" l="1"/>
  <c r="H75" i="6"/>
  <c r="I75" i="6" s="1"/>
  <c r="D94" i="3"/>
  <c r="E93" i="3"/>
  <c r="E94" i="3" l="1"/>
  <c r="D95" i="3"/>
  <c r="E76" i="6"/>
  <c r="E77" i="6" s="1"/>
  <c r="F76" i="6"/>
  <c r="D77" i="6"/>
  <c r="F77" i="6" l="1"/>
  <c r="G76" i="6"/>
  <c r="E95" i="3"/>
  <c r="D96" i="3"/>
  <c r="E96" i="3" l="1"/>
  <c r="D97" i="3"/>
  <c r="D84" i="6"/>
  <c r="H76" i="6"/>
  <c r="F84" i="6" l="1"/>
  <c r="E84" i="6"/>
  <c r="D98" i="3"/>
  <c r="E97" i="3"/>
  <c r="H77" i="6"/>
  <c r="I76" i="6"/>
  <c r="E98" i="3" l="1"/>
  <c r="E99" i="3" s="1"/>
  <c r="J87" i="3"/>
  <c r="G84" i="6"/>
  <c r="H84" i="6" l="1"/>
  <c r="D85" i="6"/>
  <c r="J88" i="3"/>
  <c r="K87" i="3"/>
  <c r="K88" i="3" l="1"/>
  <c r="J89" i="3"/>
  <c r="I84" i="6"/>
  <c r="F85" i="6"/>
  <c r="E85" i="6"/>
  <c r="J90" i="3" l="1"/>
  <c r="K89" i="3"/>
  <c r="G85" i="6"/>
  <c r="K90" i="3" l="1"/>
  <c r="J91" i="3"/>
  <c r="D86" i="6"/>
  <c r="H85" i="6"/>
  <c r="F86" i="6" l="1"/>
  <c r="E86" i="6"/>
  <c r="J92" i="3"/>
  <c r="K91" i="3"/>
  <c r="I85" i="6"/>
  <c r="J93" i="3" l="1"/>
  <c r="K92" i="3"/>
  <c r="G86" i="6"/>
  <c r="D87" i="6" l="1"/>
  <c r="H86" i="6"/>
  <c r="J94" i="3"/>
  <c r="K93" i="3"/>
  <c r="I86" i="6" l="1"/>
  <c r="J95" i="3"/>
  <c r="K94" i="3"/>
  <c r="E87" i="6"/>
  <c r="F87" i="6"/>
  <c r="G87" i="6" l="1"/>
  <c r="J96" i="3"/>
  <c r="K95" i="3"/>
  <c r="D88" i="6" l="1"/>
  <c r="H87" i="6"/>
  <c r="J97" i="3"/>
  <c r="K96" i="3"/>
  <c r="K97" i="3" l="1"/>
  <c r="J98" i="3"/>
  <c r="I87" i="6"/>
  <c r="F88" i="6"/>
  <c r="E88" i="6"/>
  <c r="G88" i="6" l="1"/>
  <c r="K98" i="3"/>
  <c r="K99" i="3" s="1"/>
  <c r="D117" i="3"/>
  <c r="D118" i="3" l="1"/>
  <c r="E117" i="3"/>
  <c r="H88" i="6"/>
  <c r="D89" i="6"/>
  <c r="F89" i="6" l="1"/>
  <c r="G89" i="6" s="1"/>
  <c r="E89" i="6"/>
  <c r="I88" i="6"/>
  <c r="E118" i="3"/>
  <c r="D119" i="3"/>
  <c r="E119" i="3" l="1"/>
  <c r="D120" i="3"/>
  <c r="H89" i="6"/>
  <c r="I89" i="6" s="1"/>
  <c r="D90" i="6"/>
  <c r="F90" i="6" l="1"/>
  <c r="G90" i="6" s="1"/>
  <c r="E90" i="6"/>
  <c r="D121" i="3"/>
  <c r="E120" i="3"/>
  <c r="D122" i="3" l="1"/>
  <c r="E121" i="3"/>
  <c r="D91" i="6"/>
  <c r="H90" i="6"/>
  <c r="I90" i="6" s="1"/>
  <c r="E91" i="6" l="1"/>
  <c r="F91" i="6"/>
  <c r="G91" i="6" s="1"/>
  <c r="E122" i="3"/>
  <c r="D123" i="3"/>
  <c r="E123" i="3" l="1"/>
  <c r="D124" i="3"/>
  <c r="H91" i="6"/>
  <c r="I91" i="6" s="1"/>
  <c r="D92" i="6"/>
  <c r="F92" i="6" l="1"/>
  <c r="G92" i="6" s="1"/>
  <c r="E92" i="6"/>
  <c r="D125" i="3"/>
  <c r="E124" i="3"/>
  <c r="D126" i="3" l="1"/>
  <c r="E125" i="3"/>
  <c r="H92" i="6"/>
  <c r="I92" i="6" s="1"/>
  <c r="D93" i="6"/>
  <c r="F93" i="6" l="1"/>
  <c r="G93" i="6" s="1"/>
  <c r="E93" i="6"/>
  <c r="E126" i="3"/>
  <c r="D127" i="3"/>
  <c r="H93" i="6" l="1"/>
  <c r="I93" i="6" s="1"/>
  <c r="D94" i="6"/>
  <c r="D128" i="3"/>
  <c r="E127" i="3"/>
  <c r="J117" i="3" l="1"/>
  <c r="E128" i="3"/>
  <c r="E129" i="3" s="1"/>
  <c r="E94" i="6"/>
  <c r="F94" i="6"/>
  <c r="G94" i="6" s="1"/>
  <c r="H94" i="6" l="1"/>
  <c r="I94" i="6" s="1"/>
  <c r="D95" i="6"/>
  <c r="K117" i="3"/>
  <c r="J118" i="3"/>
  <c r="E95" i="6" l="1"/>
  <c r="E96" i="6" s="1"/>
  <c r="F95" i="6"/>
  <c r="D96" i="6"/>
  <c r="K118" i="3"/>
  <c r="J119" i="3"/>
  <c r="K119" i="3" l="1"/>
  <c r="J120" i="3"/>
  <c r="F96" i="6"/>
  <c r="G95" i="6"/>
  <c r="H95" i="6" l="1"/>
  <c r="D103" i="6"/>
  <c r="K120" i="3"/>
  <c r="J121" i="3"/>
  <c r="H96" i="6" l="1"/>
  <c r="I95" i="6"/>
  <c r="K121" i="3"/>
  <c r="J122" i="3"/>
  <c r="E103" i="6"/>
  <c r="F103" i="6"/>
  <c r="G103" i="6" l="1"/>
  <c r="K122" i="3"/>
  <c r="J123" i="3"/>
  <c r="K123" i="3" l="1"/>
  <c r="J124" i="3"/>
  <c r="H103" i="6"/>
  <c r="D104" i="6"/>
  <c r="I103" i="6" l="1"/>
  <c r="F104" i="6"/>
  <c r="E104" i="6"/>
  <c r="J125" i="3"/>
  <c r="K124" i="3"/>
  <c r="K125" i="3" l="1"/>
  <c r="J126" i="3"/>
  <c r="G104" i="6"/>
  <c r="H104" i="6" l="1"/>
  <c r="D105" i="6"/>
  <c r="K126" i="3"/>
  <c r="J127" i="3"/>
  <c r="E105" i="6" l="1"/>
  <c r="F105" i="6"/>
  <c r="J128" i="3"/>
  <c r="K127" i="3"/>
  <c r="I104" i="6"/>
  <c r="K128" i="3" l="1"/>
  <c r="K129" i="3" s="1"/>
  <c r="D136" i="3"/>
  <c r="G105" i="6"/>
  <c r="D106" i="6" l="1"/>
  <c r="H105" i="6"/>
  <c r="E136" i="3"/>
  <c r="D137" i="3"/>
  <c r="I105" i="6" l="1"/>
  <c r="E137" i="3"/>
  <c r="D138" i="3"/>
  <c r="F106" i="6"/>
  <c r="E106" i="6"/>
  <c r="E138" i="3" l="1"/>
  <c r="D139" i="3"/>
  <c r="G106" i="6"/>
  <c r="E139" i="3" l="1"/>
  <c r="D140" i="3"/>
  <c r="D107" i="6"/>
  <c r="H106" i="6"/>
  <c r="E107" i="6" l="1"/>
  <c r="F107" i="6"/>
  <c r="D141" i="3"/>
  <c r="E140" i="3"/>
  <c r="I106" i="6"/>
  <c r="E141" i="3" l="1"/>
  <c r="D142" i="3"/>
  <c r="G107" i="6"/>
  <c r="E142" i="3" l="1"/>
  <c r="D143" i="3"/>
  <c r="H107" i="6"/>
  <c r="D108" i="6"/>
  <c r="F108" i="6" l="1"/>
  <c r="G108" i="6" s="1"/>
  <c r="E108" i="6"/>
  <c r="I107" i="6"/>
  <c r="E143" i="3"/>
  <c r="D144" i="3"/>
  <c r="E144" i="3" l="1"/>
  <c r="D145" i="3"/>
  <c r="H108" i="6"/>
  <c r="I108" i="6" s="1"/>
  <c r="D109" i="6"/>
  <c r="D146" i="3" l="1"/>
  <c r="E145" i="3"/>
  <c r="F109" i="6"/>
  <c r="G109" i="6" s="1"/>
  <c r="E109" i="6"/>
  <c r="D147" i="3" l="1"/>
  <c r="E146" i="3"/>
  <c r="H109" i="6"/>
  <c r="I109" i="6" s="1"/>
  <c r="D110" i="6"/>
  <c r="F110" i="6" l="1"/>
  <c r="G110" i="6" s="1"/>
  <c r="E110" i="6"/>
  <c r="E147" i="3"/>
  <c r="E148" i="3" s="1"/>
  <c r="J136" i="3"/>
  <c r="J137" i="3" l="1"/>
  <c r="K136" i="3"/>
  <c r="D111" i="6"/>
  <c r="H110" i="6"/>
  <c r="I110" i="6" s="1"/>
  <c r="E111" i="6" l="1"/>
  <c r="F111" i="6"/>
  <c r="G111" i="6" s="1"/>
  <c r="J138" i="3"/>
  <c r="K137" i="3"/>
  <c r="J139" i="3" l="1"/>
  <c r="K138" i="3"/>
  <c r="D112" i="6"/>
  <c r="H111" i="6"/>
  <c r="I111" i="6" s="1"/>
  <c r="K139" i="3" l="1"/>
  <c r="J140" i="3"/>
  <c r="E112" i="6"/>
  <c r="F112" i="6"/>
  <c r="G112" i="6" s="1"/>
  <c r="J141" i="3" l="1"/>
  <c r="K140" i="3"/>
  <c r="H112" i="6"/>
  <c r="I112" i="6" s="1"/>
  <c r="D113" i="6"/>
  <c r="K141" i="3" l="1"/>
  <c r="J142" i="3"/>
  <c r="F113" i="6"/>
  <c r="G113" i="6" s="1"/>
  <c r="E113" i="6"/>
  <c r="D114" i="6" l="1"/>
  <c r="H113" i="6"/>
  <c r="I113" i="6" s="1"/>
  <c r="K142" i="3"/>
  <c r="J143" i="3"/>
  <c r="F114" i="6" l="1"/>
  <c r="E114" i="6"/>
  <c r="E115" i="6" s="1"/>
  <c r="D115" i="6"/>
  <c r="K143" i="3"/>
  <c r="J144" i="3"/>
  <c r="F115" i="6" l="1"/>
  <c r="G114" i="6"/>
  <c r="K144" i="3"/>
  <c r="J145" i="3"/>
  <c r="K145" i="3" l="1"/>
  <c r="J146" i="3"/>
  <c r="H114" i="6"/>
  <c r="D128" i="6"/>
  <c r="E128" i="6" l="1"/>
  <c r="F128" i="6"/>
  <c r="H115" i="6"/>
  <c r="I114" i="6"/>
  <c r="K146" i="3"/>
  <c r="J147" i="3"/>
  <c r="K147" i="3" l="1"/>
  <c r="K148" i="3" s="1"/>
  <c r="D166" i="3"/>
  <c r="G128" i="6"/>
  <c r="D129" i="6" l="1"/>
  <c r="H128" i="6"/>
  <c r="E166" i="3"/>
  <c r="D167" i="3"/>
  <c r="D168" i="3" l="1"/>
  <c r="E167" i="3"/>
  <c r="I128" i="6"/>
  <c r="E129" i="6"/>
  <c r="F129" i="6"/>
  <c r="G129" i="6" l="1"/>
  <c r="D169" i="3"/>
  <c r="E168" i="3"/>
  <c r="E169" i="3" l="1"/>
  <c r="D170" i="3"/>
  <c r="H129" i="6"/>
  <c r="D130" i="6"/>
  <c r="I129" i="6" l="1"/>
  <c r="D171" i="3"/>
  <c r="E170" i="3"/>
  <c r="E130" i="6"/>
  <c r="F130" i="6"/>
  <c r="G130" i="6" l="1"/>
  <c r="E171" i="3"/>
  <c r="D172" i="3"/>
  <c r="H130" i="6" l="1"/>
  <c r="D131" i="6"/>
  <c r="D173" i="3"/>
  <c r="E172" i="3"/>
  <c r="D174" i="3" l="1"/>
  <c r="E173" i="3"/>
  <c r="F131" i="6"/>
  <c r="E131" i="6"/>
  <c r="I130" i="6"/>
  <c r="G131" i="6" l="1"/>
  <c r="E174" i="3"/>
  <c r="D175" i="3"/>
  <c r="E175" i="3" l="1"/>
  <c r="D176" i="3"/>
  <c r="H131" i="6"/>
  <c r="D132" i="6"/>
  <c r="I131" i="6" l="1"/>
  <c r="D177" i="3"/>
  <c r="E176" i="3"/>
  <c r="E132" i="6"/>
  <c r="F132" i="6"/>
  <c r="G132" i="6" l="1"/>
  <c r="E177" i="3"/>
  <c r="E178" i="3" s="1"/>
  <c r="J166" i="3"/>
  <c r="H132" i="6" l="1"/>
  <c r="D133" i="6"/>
  <c r="K166" i="3"/>
  <c r="J167" i="3"/>
  <c r="E133" i="6" l="1"/>
  <c r="F133" i="6"/>
  <c r="G133" i="6" s="1"/>
  <c r="J168" i="3"/>
  <c r="K167" i="3"/>
  <c r="I132" i="6"/>
  <c r="H133" i="6" l="1"/>
  <c r="I133" i="6" s="1"/>
  <c r="D134" i="6"/>
  <c r="K168" i="3"/>
  <c r="J169" i="3"/>
  <c r="E134" i="6" l="1"/>
  <c r="F134" i="6"/>
  <c r="G134" i="6" s="1"/>
  <c r="K169" i="3"/>
  <c r="J170" i="3"/>
  <c r="J171" i="3" l="1"/>
  <c r="K170" i="3"/>
  <c r="H134" i="6"/>
  <c r="I134" i="6" s="1"/>
  <c r="D135" i="6"/>
  <c r="F135" i="6" l="1"/>
  <c r="G135" i="6" s="1"/>
  <c r="E135" i="6"/>
  <c r="J172" i="3"/>
  <c r="K171" i="3"/>
  <c r="K172" i="3" l="1"/>
  <c r="J173" i="3"/>
  <c r="D136" i="6"/>
  <c r="H135" i="6"/>
  <c r="I135" i="6" s="1"/>
  <c r="K173" i="3" l="1"/>
  <c r="J174" i="3"/>
  <c r="F136" i="6"/>
  <c r="G136" i="6" s="1"/>
  <c r="E136" i="6"/>
  <c r="K174" i="3" l="1"/>
  <c r="J175" i="3"/>
  <c r="H136" i="6"/>
  <c r="I136" i="6" s="1"/>
  <c r="D137" i="6"/>
  <c r="F137" i="6" l="1"/>
  <c r="G137" i="6" s="1"/>
  <c r="E137" i="6"/>
  <c r="J176" i="3"/>
  <c r="K175" i="3"/>
  <c r="J177" i="3" l="1"/>
  <c r="K176" i="3"/>
  <c r="H137" i="6"/>
  <c r="I137" i="6" s="1"/>
  <c r="D138" i="6"/>
  <c r="K177" i="3" l="1"/>
  <c r="K178" i="3" s="1"/>
  <c r="D185" i="3"/>
  <c r="F138" i="6"/>
  <c r="G138" i="6" s="1"/>
  <c r="E138" i="6"/>
  <c r="D186" i="3" l="1"/>
  <c r="E185" i="3"/>
  <c r="D139" i="6"/>
  <c r="H138" i="6"/>
  <c r="I138" i="6" s="1"/>
  <c r="F139" i="6" l="1"/>
  <c r="E139" i="6"/>
  <c r="E140" i="6" s="1"/>
  <c r="D140" i="6"/>
  <c r="D187" i="3"/>
  <c r="E186" i="3"/>
  <c r="F140" i="6" l="1"/>
  <c r="G139" i="6"/>
  <c r="E187" i="3"/>
  <c r="D188" i="3"/>
  <c r="E188" i="3" l="1"/>
  <c r="D189" i="3"/>
  <c r="H139" i="6"/>
  <c r="D147" i="6"/>
  <c r="E147" i="6" l="1"/>
  <c r="F147" i="6"/>
  <c r="H140" i="6"/>
  <c r="I139" i="6"/>
  <c r="D190" i="3"/>
  <c r="E189" i="3"/>
  <c r="E190" i="3" l="1"/>
  <c r="D191" i="3"/>
  <c r="G147" i="6"/>
  <c r="D148" i="6" l="1"/>
  <c r="H147" i="6"/>
  <c r="D192" i="3"/>
  <c r="E191" i="3"/>
  <c r="I147" i="6" l="1"/>
  <c r="D193" i="3"/>
  <c r="E192" i="3"/>
  <c r="F148" i="6"/>
  <c r="E148" i="6"/>
  <c r="G148" i="6" l="1"/>
  <c r="E193" i="3"/>
  <c r="D194" i="3"/>
  <c r="D195" i="3" l="1"/>
  <c r="E194" i="3"/>
  <c r="H148" i="6"/>
  <c r="D149" i="6"/>
  <c r="E149" i="6" l="1"/>
  <c r="F149" i="6"/>
  <c r="I148" i="6"/>
  <c r="D196" i="3"/>
  <c r="E195" i="3"/>
  <c r="G149" i="6" l="1"/>
  <c r="J185" i="3"/>
  <c r="E196" i="3"/>
  <c r="E197" i="3" s="1"/>
  <c r="H149" i="6" l="1"/>
  <c r="D150" i="6"/>
  <c r="J186" i="3"/>
  <c r="K185" i="3"/>
  <c r="J187" i="3" l="1"/>
  <c r="K186" i="3"/>
  <c r="E150" i="6"/>
  <c r="F150" i="6"/>
  <c r="I149" i="6"/>
  <c r="G150" i="6" l="1"/>
  <c r="K187" i="3"/>
  <c r="J188" i="3"/>
  <c r="J189" i="3" l="1"/>
  <c r="K188" i="3"/>
  <c r="H150" i="6"/>
  <c r="D151" i="6"/>
  <c r="F151" i="6" l="1"/>
  <c r="E151" i="6"/>
  <c r="J190" i="3"/>
  <c r="K189" i="3"/>
  <c r="I150" i="6"/>
  <c r="K190" i="3" l="1"/>
  <c r="J191" i="3"/>
  <c r="G151" i="6"/>
  <c r="H151" i="6" l="1"/>
  <c r="D152" i="6"/>
  <c r="J192" i="3"/>
  <c r="K191" i="3"/>
  <c r="F152" i="6" l="1"/>
  <c r="G152" i="6" s="1"/>
  <c r="E152" i="6"/>
  <c r="I151" i="6"/>
  <c r="J193" i="3"/>
  <c r="K192" i="3"/>
  <c r="J194" i="3" l="1"/>
  <c r="K193" i="3"/>
  <c r="D153" i="6"/>
  <c r="H152" i="6"/>
  <c r="I152" i="6" s="1"/>
  <c r="J195" i="3" l="1"/>
  <c r="K194" i="3"/>
  <c r="F153" i="6"/>
  <c r="G153" i="6" s="1"/>
  <c r="E153" i="6"/>
  <c r="J196" i="3" l="1"/>
  <c r="K195" i="3"/>
  <c r="H153" i="6"/>
  <c r="I153" i="6" s="1"/>
  <c r="D154" i="6"/>
  <c r="F154" i="6" l="1"/>
  <c r="G154" i="6" s="1"/>
  <c r="E154" i="6"/>
  <c r="D215" i="3"/>
  <c r="K196" i="3"/>
  <c r="K197" i="3" s="1"/>
  <c r="E215" i="3" l="1"/>
  <c r="D216" i="3"/>
  <c r="H154" i="6"/>
  <c r="I154" i="6" s="1"/>
  <c r="D155" i="6"/>
  <c r="F155" i="6" l="1"/>
  <c r="G155" i="6" s="1"/>
  <c r="E155" i="6"/>
  <c r="E216" i="3"/>
  <c r="D217" i="3"/>
  <c r="E217" i="3" l="1"/>
  <c r="D218" i="3"/>
  <c r="D156" i="6"/>
  <c r="H155" i="6"/>
  <c r="I155" i="6" s="1"/>
  <c r="E218" i="3" l="1"/>
  <c r="D219" i="3"/>
  <c r="E156" i="6"/>
  <c r="F156" i="6"/>
  <c r="G156" i="6" s="1"/>
  <c r="D220" i="3" l="1"/>
  <c r="E219" i="3"/>
  <c r="H156" i="6"/>
  <c r="I156" i="6" s="1"/>
  <c r="D157" i="6"/>
  <c r="E220" i="3" l="1"/>
  <c r="D221" i="3"/>
  <c r="F157" i="6"/>
  <c r="G157" i="6" s="1"/>
  <c r="E157" i="6"/>
  <c r="H157" i="6" l="1"/>
  <c r="I157" i="6" s="1"/>
  <c r="D158" i="6"/>
  <c r="D222" i="3"/>
  <c r="E221" i="3"/>
  <c r="E222" i="3" l="1"/>
  <c r="D223" i="3"/>
  <c r="E158" i="6"/>
  <c r="E159" i="6" s="1"/>
  <c r="F158" i="6"/>
  <c r="D159" i="6"/>
  <c r="E223" i="3" l="1"/>
  <c r="D224" i="3"/>
  <c r="F159" i="6"/>
  <c r="G158" i="6"/>
  <c r="H158" i="6" l="1"/>
  <c r="D166" i="6"/>
  <c r="E224" i="3"/>
  <c r="D225" i="3"/>
  <c r="D226" i="3" l="1"/>
  <c r="E225" i="3"/>
  <c r="E166" i="6"/>
  <c r="F166" i="6"/>
  <c r="H159" i="6"/>
  <c r="I158" i="6"/>
  <c r="G166" i="6" l="1"/>
  <c r="J215" i="3"/>
  <c r="E226" i="3"/>
  <c r="E227" i="3" s="1"/>
  <c r="H166" i="6" l="1"/>
  <c r="D167" i="6"/>
  <c r="K215" i="3"/>
  <c r="J216" i="3"/>
  <c r="K216" i="3" l="1"/>
  <c r="J217" i="3"/>
  <c r="E167" i="6"/>
  <c r="F167" i="6"/>
  <c r="I166" i="6"/>
  <c r="G167" i="6" l="1"/>
  <c r="K217" i="3"/>
  <c r="J218" i="3"/>
  <c r="J219" i="3" l="1"/>
  <c r="K218" i="3"/>
  <c r="H167" i="6"/>
  <c r="D168" i="6"/>
  <c r="F168" i="6" l="1"/>
  <c r="E168" i="6"/>
  <c r="I167" i="6"/>
  <c r="K219" i="3"/>
  <c r="J220" i="3"/>
  <c r="K220" i="3" l="1"/>
  <c r="J221" i="3"/>
  <c r="G168" i="6"/>
  <c r="D169" i="6" l="1"/>
  <c r="H168" i="6"/>
  <c r="J222" i="3"/>
  <c r="K221" i="3"/>
  <c r="K222" i="3" l="1"/>
  <c r="J223" i="3"/>
  <c r="I168" i="6"/>
  <c r="E169" i="6"/>
  <c r="F169" i="6"/>
  <c r="G169" i="6" l="1"/>
  <c r="J224" i="3"/>
  <c r="K223" i="3"/>
  <c r="H169" i="6" l="1"/>
  <c r="D170" i="6"/>
  <c r="J225" i="3"/>
  <c r="K224" i="3"/>
  <c r="J226" i="3" l="1"/>
  <c r="K225" i="3"/>
  <c r="F170" i="6"/>
  <c r="E170" i="6"/>
  <c r="I169" i="6"/>
  <c r="G170" i="6" l="1"/>
  <c r="K226" i="3"/>
  <c r="K227" i="3" s="1"/>
  <c r="D234" i="3"/>
  <c r="E234" i="3" l="1"/>
  <c r="D235" i="3"/>
  <c r="H170" i="6"/>
  <c r="D171" i="6"/>
  <c r="I170" i="6" l="1"/>
  <c r="E235" i="3"/>
  <c r="D236" i="3"/>
  <c r="F171" i="6"/>
  <c r="G171" i="6" s="1"/>
  <c r="E171" i="6"/>
  <c r="E236" i="3" l="1"/>
  <c r="D237" i="3"/>
  <c r="D172" i="6"/>
  <c r="H171" i="6"/>
  <c r="I171" i="6"/>
  <c r="F172" i="6" l="1"/>
  <c r="G172" i="6" s="1"/>
  <c r="E172" i="6"/>
  <c r="E237" i="3"/>
  <c r="D238" i="3"/>
  <c r="D173" i="6" l="1"/>
  <c r="H172" i="6"/>
  <c r="I172" i="6" s="1"/>
  <c r="D239" i="3"/>
  <c r="E238" i="3"/>
  <c r="E239" i="3" l="1"/>
  <c r="D240" i="3"/>
  <c r="E173" i="6"/>
  <c r="F173" i="6"/>
  <c r="G173" i="6" s="1"/>
  <c r="D174" i="6" l="1"/>
  <c r="H173" i="6"/>
  <c r="I173" i="6" s="1"/>
  <c r="E240" i="3"/>
  <c r="D241" i="3"/>
  <c r="E241" i="3" l="1"/>
  <c r="D242" i="3"/>
  <c r="F174" i="6"/>
  <c r="G174" i="6" s="1"/>
  <c r="E174" i="6"/>
  <c r="D175" i="6" l="1"/>
  <c r="H174" i="6"/>
  <c r="I174" i="6" s="1"/>
  <c r="E242" i="3"/>
  <c r="D243" i="3"/>
  <c r="E243" i="3" l="1"/>
  <c r="D244" i="3"/>
  <c r="E175" i="6"/>
  <c r="F175" i="6"/>
  <c r="G175" i="6" s="1"/>
  <c r="H175" i="6" l="1"/>
  <c r="I175" i="6" s="1"/>
  <c r="D176" i="6"/>
  <c r="E244" i="3"/>
  <c r="D245" i="3"/>
  <c r="E245" i="3" l="1"/>
  <c r="E246" i="3" s="1"/>
  <c r="J234" i="3"/>
  <c r="F176" i="6"/>
  <c r="G176" i="6" s="1"/>
  <c r="E176" i="6"/>
  <c r="D177" i="6" l="1"/>
  <c r="H176" i="6"/>
  <c r="I176" i="6" s="1"/>
  <c r="K234" i="3"/>
  <c r="J235" i="3"/>
  <c r="J236" i="3" l="1"/>
  <c r="K235" i="3"/>
  <c r="E177" i="6"/>
  <c r="E178" i="6" s="1"/>
  <c r="F177" i="6"/>
  <c r="D178" i="6"/>
  <c r="F178" i="6" l="1"/>
  <c r="G177" i="6"/>
  <c r="J237" i="3"/>
  <c r="K236" i="3"/>
  <c r="J238" i="3" l="1"/>
  <c r="K237" i="3"/>
  <c r="H177" i="6"/>
  <c r="D191" i="6"/>
  <c r="H178" i="6" l="1"/>
  <c r="I177" i="6"/>
  <c r="F191" i="6"/>
  <c r="E191" i="6"/>
  <c r="K238" i="3"/>
  <c r="J239" i="3"/>
  <c r="G191" i="6" l="1"/>
  <c r="K239" i="3"/>
  <c r="J240" i="3"/>
  <c r="J241" i="3" l="1"/>
  <c r="K240" i="3"/>
  <c r="H191" i="6"/>
  <c r="D192" i="6"/>
  <c r="F192" i="6" l="1"/>
  <c r="E192" i="6"/>
  <c r="I191" i="6"/>
  <c r="J242" i="3"/>
  <c r="K241" i="3"/>
  <c r="K242" i="3" l="1"/>
  <c r="J243" i="3"/>
  <c r="G192" i="6"/>
  <c r="D193" i="6" l="1"/>
  <c r="H192" i="6"/>
  <c r="K243" i="3"/>
  <c r="J244" i="3"/>
  <c r="J245" i="3" l="1"/>
  <c r="K244" i="3"/>
  <c r="I192" i="6"/>
  <c r="F193" i="6"/>
  <c r="E193" i="6"/>
  <c r="G193" i="6" l="1"/>
  <c r="D264" i="3"/>
  <c r="K245" i="3"/>
  <c r="K246" i="3" s="1"/>
  <c r="H193" i="6" l="1"/>
  <c r="D194" i="6"/>
  <c r="E264" i="3"/>
  <c r="D265" i="3"/>
  <c r="E194" i="6" l="1"/>
  <c r="F194" i="6"/>
  <c r="I193" i="6"/>
  <c r="D266" i="3"/>
  <c r="E265" i="3"/>
  <c r="D267" i="3" l="1"/>
  <c r="E266" i="3"/>
  <c r="G194" i="6"/>
  <c r="H194" i="6" l="1"/>
  <c r="D195" i="6"/>
  <c r="D268" i="3"/>
  <c r="E267" i="3"/>
  <c r="E195" i="6" l="1"/>
  <c r="F195" i="6"/>
  <c r="D269" i="3"/>
  <c r="E268" i="3"/>
  <c r="I194" i="6"/>
  <c r="E269" i="3" l="1"/>
  <c r="D270" i="3"/>
  <c r="G195" i="6"/>
  <c r="H195" i="6" l="1"/>
  <c r="D196" i="6"/>
  <c r="E270" i="3"/>
  <c r="D271" i="3"/>
  <c r="E196" i="6" l="1"/>
  <c r="F196" i="6"/>
  <c r="G196" i="6" s="1"/>
  <c r="E271" i="3"/>
  <c r="D272" i="3"/>
  <c r="I195" i="6"/>
  <c r="E272" i="3" l="1"/>
  <c r="D273" i="3"/>
  <c r="H196" i="6"/>
  <c r="I196" i="6" s="1"/>
  <c r="D197" i="6"/>
  <c r="E273" i="3" l="1"/>
  <c r="D274" i="3"/>
  <c r="E197" i="6"/>
  <c r="F197" i="6"/>
  <c r="G197" i="6" s="1"/>
  <c r="D198" i="6" l="1"/>
  <c r="H197" i="6"/>
  <c r="I197" i="6" s="1"/>
  <c r="E274" i="3"/>
  <c r="D275" i="3"/>
  <c r="E275" i="3" l="1"/>
  <c r="E276" i="3" s="1"/>
  <c r="J264" i="3"/>
  <c r="E198" i="6"/>
  <c r="F198" i="6"/>
  <c r="G198" i="6" s="1"/>
  <c r="D199" i="6" l="1"/>
  <c r="H198" i="6"/>
  <c r="I198" i="6" s="1"/>
  <c r="K264" i="3"/>
  <c r="J265" i="3"/>
  <c r="K265" i="3" l="1"/>
  <c r="J266" i="3"/>
  <c r="F199" i="6"/>
  <c r="G199" i="6" s="1"/>
  <c r="E199" i="6"/>
  <c r="D200" i="6" l="1"/>
  <c r="H199" i="6"/>
  <c r="I199" i="6" s="1"/>
  <c r="K266" i="3"/>
  <c r="J267" i="3"/>
  <c r="J268" i="3" l="1"/>
  <c r="K267" i="3"/>
  <c r="E200" i="6"/>
  <c r="F200" i="6"/>
  <c r="G200" i="6" s="1"/>
  <c r="H200" i="6" l="1"/>
  <c r="I200" i="6" s="1"/>
  <c r="D201" i="6"/>
  <c r="J269" i="3"/>
  <c r="K268" i="3"/>
  <c r="K269" i="3" l="1"/>
  <c r="J270" i="3"/>
  <c r="F201" i="6"/>
  <c r="G201" i="6" s="1"/>
  <c r="E201" i="6"/>
  <c r="H201" i="6" l="1"/>
  <c r="I201" i="6" s="1"/>
  <c r="D202" i="6"/>
  <c r="J271" i="3"/>
  <c r="K270" i="3"/>
  <c r="J272" i="3" l="1"/>
  <c r="K271" i="3"/>
  <c r="E202" i="6"/>
  <c r="E203" i="6" s="1"/>
  <c r="F202" i="6"/>
  <c r="D203" i="6"/>
  <c r="F203" i="6" l="1"/>
  <c r="G202" i="6"/>
  <c r="K272" i="3"/>
  <c r="J273" i="3"/>
  <c r="J274" i="3" l="1"/>
  <c r="K273" i="3"/>
  <c r="H202" i="6"/>
  <c r="D210" i="6"/>
  <c r="E210" i="6" l="1"/>
  <c r="F210" i="6"/>
  <c r="H203" i="6"/>
  <c r="I202" i="6"/>
  <c r="K274" i="3"/>
  <c r="J275" i="3"/>
  <c r="G210" i="6" l="1"/>
  <c r="D283" i="3"/>
  <c r="K275" i="3"/>
  <c r="K276" i="3" s="1"/>
  <c r="D211" i="6" l="1"/>
  <c r="H210" i="6"/>
  <c r="D284" i="3"/>
  <c r="E283" i="3"/>
  <c r="I210" i="6" l="1"/>
  <c r="D285" i="3"/>
  <c r="E284" i="3"/>
  <c r="F211" i="6"/>
  <c r="E211" i="6"/>
  <c r="G211" i="6" l="1"/>
  <c r="E285" i="3"/>
  <c r="D286" i="3"/>
  <c r="E286" i="3" l="1"/>
  <c r="D287" i="3"/>
  <c r="D212" i="6"/>
  <c r="H211" i="6"/>
  <c r="I211" i="6" l="1"/>
  <c r="F212" i="6"/>
  <c r="E212" i="6"/>
  <c r="D288" i="3"/>
  <c r="E287" i="3"/>
  <c r="D289" i="3" l="1"/>
  <c r="E288" i="3"/>
  <c r="G212" i="6"/>
  <c r="H212" i="6" l="1"/>
  <c r="D213" i="6"/>
  <c r="E289" i="3"/>
  <c r="D290" i="3"/>
  <c r="E290" i="3" l="1"/>
  <c r="D291" i="3"/>
  <c r="E213" i="6"/>
  <c r="F213" i="6"/>
  <c r="I212" i="6"/>
  <c r="G213" i="6" l="1"/>
  <c r="D292" i="3"/>
  <c r="E291" i="3"/>
  <c r="H213" i="6" l="1"/>
  <c r="D214" i="6"/>
  <c r="E292" i="3"/>
  <c r="D293" i="3"/>
  <c r="D294" i="3" l="1"/>
  <c r="E293" i="3"/>
  <c r="E214" i="6"/>
  <c r="F214" i="6"/>
  <c r="I213" i="6"/>
  <c r="G214" i="6" l="1"/>
  <c r="J283" i="3"/>
  <c r="E294" i="3"/>
  <c r="E295" i="3" s="1"/>
  <c r="D215" i="6" l="1"/>
  <c r="H214" i="6"/>
  <c r="J284" i="3"/>
  <c r="K283" i="3"/>
  <c r="K284" i="3" l="1"/>
  <c r="J285" i="3"/>
  <c r="I214" i="6"/>
  <c r="F215" i="6"/>
  <c r="G215" i="6" s="1"/>
  <c r="E215" i="6"/>
  <c r="H215" i="6" l="1"/>
  <c r="I215" i="6" s="1"/>
  <c r="D216" i="6"/>
  <c r="K285" i="3"/>
  <c r="J286" i="3"/>
  <c r="E216" i="6" l="1"/>
  <c r="F216" i="6"/>
  <c r="G216" i="6" s="1"/>
  <c r="J287" i="3"/>
  <c r="K286" i="3"/>
  <c r="H216" i="6" l="1"/>
  <c r="I216" i="6" s="1"/>
  <c r="D217" i="6"/>
  <c r="J288" i="3"/>
  <c r="K287" i="3"/>
  <c r="K288" i="3" l="1"/>
  <c r="J289" i="3"/>
  <c r="F217" i="6"/>
  <c r="G217" i="6" s="1"/>
  <c r="E217" i="6"/>
  <c r="D218" i="6" l="1"/>
  <c r="H217" i="6"/>
  <c r="I217" i="6" s="1"/>
  <c r="K289" i="3"/>
  <c r="J290" i="3"/>
  <c r="K290" i="3" l="1"/>
  <c r="J291" i="3"/>
  <c r="F218" i="6"/>
  <c r="G218" i="6" s="1"/>
  <c r="E218" i="6"/>
  <c r="J292" i="3" l="1"/>
  <c r="K291" i="3"/>
  <c r="H218" i="6"/>
  <c r="I218" i="6" s="1"/>
  <c r="D219" i="6"/>
  <c r="K292" i="3" l="1"/>
  <c r="J293" i="3"/>
  <c r="F219" i="6"/>
  <c r="G219" i="6" s="1"/>
  <c r="E219" i="6"/>
  <c r="D220" i="6" l="1"/>
  <c r="H219" i="6"/>
  <c r="I219" i="6" s="1"/>
  <c r="J294" i="3"/>
  <c r="K293" i="3"/>
  <c r="D313" i="3" l="1"/>
  <c r="K294" i="3"/>
  <c r="K295" i="3" s="1"/>
  <c r="E220" i="6"/>
  <c r="F220" i="6"/>
  <c r="G220" i="6" s="1"/>
  <c r="D221" i="6" l="1"/>
  <c r="H220" i="6"/>
  <c r="I220" i="6" s="1"/>
  <c r="D314" i="3"/>
  <c r="E313" i="3"/>
  <c r="E314" i="3" l="1"/>
  <c r="D315" i="3"/>
  <c r="E221" i="6"/>
  <c r="E222" i="6" s="1"/>
  <c r="F221" i="6"/>
  <c r="D222" i="6"/>
  <c r="F222" i="6" l="1"/>
  <c r="G221" i="6"/>
  <c r="D316" i="3"/>
  <c r="E315" i="3"/>
  <c r="D317" i="3" l="1"/>
  <c r="E316" i="3"/>
  <c r="D229" i="6"/>
  <c r="H221" i="6"/>
  <c r="H222" i="6" l="1"/>
  <c r="I221" i="6"/>
  <c r="E229" i="6"/>
  <c r="F229" i="6"/>
  <c r="E317" i="3"/>
  <c r="D318" i="3"/>
  <c r="D319" i="3" l="1"/>
  <c r="E318" i="3"/>
  <c r="G229" i="6"/>
  <c r="H229" i="6" l="1"/>
  <c r="D230" i="6"/>
  <c r="E319" i="3"/>
  <c r="D320" i="3"/>
  <c r="D321" i="3" l="1"/>
  <c r="E320" i="3"/>
  <c r="F230" i="6"/>
  <c r="E230" i="6"/>
  <c r="I229" i="6"/>
  <c r="G230" i="6" l="1"/>
  <c r="E321" i="3"/>
  <c r="D322" i="3"/>
  <c r="D323" i="3" l="1"/>
  <c r="E322" i="3"/>
  <c r="H230" i="6"/>
  <c r="D231" i="6"/>
  <c r="F231" i="6" l="1"/>
  <c r="E231" i="6"/>
  <c r="I230" i="6"/>
  <c r="E323" i="3"/>
  <c r="D324" i="3"/>
  <c r="E324" i="3" l="1"/>
  <c r="E325" i="3" s="1"/>
  <c r="J313" i="3"/>
  <c r="G231" i="6"/>
  <c r="K313" i="3" l="1"/>
  <c r="J314" i="3"/>
  <c r="H231" i="6"/>
  <c r="D232" i="6"/>
  <c r="E232" i="6" l="1"/>
  <c r="F232" i="6"/>
  <c r="K314" i="3"/>
  <c r="J315" i="3"/>
  <c r="I231" i="6"/>
  <c r="J316" i="3" l="1"/>
  <c r="K315" i="3"/>
  <c r="G232" i="6"/>
  <c r="H232" i="6" l="1"/>
  <c r="D233" i="6"/>
  <c r="J317" i="3"/>
  <c r="K316" i="3"/>
  <c r="K317" i="3" l="1"/>
  <c r="J318" i="3"/>
  <c r="E233" i="6"/>
  <c r="F233" i="6"/>
  <c r="I232" i="6"/>
  <c r="G233" i="6" l="1"/>
  <c r="J319" i="3"/>
  <c r="K318" i="3"/>
  <c r="K319" i="3" l="1"/>
  <c r="J320" i="3"/>
  <c r="H233" i="6"/>
  <c r="D234" i="6"/>
  <c r="K320" i="3" l="1"/>
  <c r="J321" i="3"/>
  <c r="F234" i="6"/>
  <c r="G234" i="6" s="1"/>
  <c r="E234" i="6"/>
  <c r="I233" i="6"/>
  <c r="D235" i="6" l="1"/>
  <c r="H234" i="6"/>
  <c r="I234" i="6" s="1"/>
  <c r="J322" i="3"/>
  <c r="K321" i="3"/>
  <c r="J323" i="3" l="1"/>
  <c r="K322" i="3"/>
  <c r="F235" i="6"/>
  <c r="G235" i="6" s="1"/>
  <c r="E235" i="6"/>
  <c r="D236" i="6" l="1"/>
  <c r="H235" i="6"/>
  <c r="I235" i="6" s="1"/>
  <c r="J324" i="3"/>
  <c r="K323" i="3"/>
  <c r="K324" i="3" l="1"/>
  <c r="K325" i="3" s="1"/>
  <c r="D332" i="3"/>
  <c r="F236" i="6"/>
  <c r="G236" i="6" s="1"/>
  <c r="E236" i="6"/>
  <c r="H236" i="6" l="1"/>
  <c r="I236" i="6" s="1"/>
  <c r="D237" i="6"/>
  <c r="E332" i="3"/>
  <c r="D333" i="3"/>
  <c r="D334" i="3" l="1"/>
  <c r="E333" i="3"/>
  <c r="F237" i="6"/>
  <c r="G237" i="6" s="1"/>
  <c r="E237" i="6"/>
  <c r="D335" i="3" l="1"/>
  <c r="E334" i="3"/>
  <c r="H237" i="6"/>
  <c r="I237" i="6" s="1"/>
  <c r="D238" i="6"/>
  <c r="F238" i="6" l="1"/>
  <c r="G238" i="6" s="1"/>
  <c r="E238" i="6"/>
  <c r="D336" i="3"/>
  <c r="E335" i="3"/>
  <c r="H238" i="6" l="1"/>
  <c r="I238" i="6" s="1"/>
  <c r="D239" i="6"/>
  <c r="D337" i="3"/>
  <c r="E336" i="3"/>
  <c r="E337" i="3" l="1"/>
  <c r="D338" i="3"/>
  <c r="E239" i="6"/>
  <c r="F239" i="6"/>
  <c r="G239" i="6" s="1"/>
  <c r="E338" i="3" l="1"/>
  <c r="D339" i="3"/>
  <c r="D240" i="6"/>
  <c r="H239" i="6"/>
  <c r="I239" i="6" s="1"/>
  <c r="F240" i="6" l="1"/>
  <c r="E240" i="6"/>
  <c r="E241" i="6" s="1"/>
  <c r="D241" i="6"/>
  <c r="E339" i="3"/>
  <c r="D340" i="3"/>
  <c r="E340" i="3" l="1"/>
  <c r="D341" i="3"/>
  <c r="F241" i="6"/>
  <c r="G240" i="6"/>
  <c r="D342" i="3" l="1"/>
  <c r="E341" i="3"/>
  <c r="H240" i="6"/>
  <c r="D254" i="6"/>
  <c r="E254" i="6" l="1"/>
  <c r="F254" i="6"/>
  <c r="H241" i="6"/>
  <c r="I240" i="6"/>
  <c r="D343" i="3"/>
  <c r="E342" i="3"/>
  <c r="E343" i="3" l="1"/>
  <c r="E344" i="3" s="1"/>
  <c r="J332" i="3"/>
  <c r="G254" i="6"/>
  <c r="H254" i="6" l="1"/>
  <c r="D255" i="6"/>
  <c r="J333" i="3"/>
  <c r="K332" i="3"/>
  <c r="K333" i="3" l="1"/>
  <c r="J334" i="3"/>
  <c r="E255" i="6"/>
  <c r="F255" i="6"/>
  <c r="I254" i="6"/>
  <c r="J335" i="3" l="1"/>
  <c r="K334" i="3"/>
  <c r="G255" i="6"/>
  <c r="H255" i="6" l="1"/>
  <c r="D256" i="6"/>
  <c r="J336" i="3"/>
  <c r="K335" i="3"/>
  <c r="K336" i="3" l="1"/>
  <c r="J337" i="3"/>
  <c r="E256" i="6"/>
  <c r="F256" i="6"/>
  <c r="I255" i="6"/>
  <c r="G256" i="6" l="1"/>
  <c r="J338" i="3"/>
  <c r="K337" i="3"/>
  <c r="K338" i="3" l="1"/>
  <c r="J339" i="3"/>
  <c r="D257" i="6"/>
  <c r="H256" i="6"/>
  <c r="E257" i="6" l="1"/>
  <c r="F257" i="6"/>
  <c r="K339" i="3"/>
  <c r="J340" i="3"/>
  <c r="I256" i="6"/>
  <c r="J341" i="3" l="1"/>
  <c r="K340" i="3"/>
  <c r="G257" i="6"/>
  <c r="H257" i="6" l="1"/>
  <c r="D258" i="6"/>
  <c r="J342" i="3"/>
  <c r="K341" i="3"/>
  <c r="J343" i="3" l="1"/>
  <c r="K343" i="3" s="1"/>
  <c r="K344" i="3" s="1"/>
  <c r="O3" i="3" s="1"/>
  <c r="K342" i="3"/>
  <c r="E258" i="6"/>
  <c r="F258" i="6"/>
  <c r="I257" i="6"/>
  <c r="G258" i="6" l="1"/>
  <c r="H258" i="6" l="1"/>
  <c r="D259" i="6"/>
  <c r="E259" i="6" l="1"/>
  <c r="F259" i="6"/>
  <c r="G259" i="6" s="1"/>
  <c r="I258" i="6"/>
  <c r="D260" i="6" l="1"/>
  <c r="H259" i="6"/>
  <c r="I259" i="6" s="1"/>
  <c r="E260" i="6" l="1"/>
  <c r="F260" i="6"/>
  <c r="G260" i="6" s="1"/>
  <c r="H260" i="6" l="1"/>
  <c r="I260" i="6" s="1"/>
  <c r="D261" i="6"/>
  <c r="E261" i="6" l="1"/>
  <c r="F261" i="6"/>
  <c r="G261" i="6" s="1"/>
  <c r="H261" i="6" l="1"/>
  <c r="I261" i="6" s="1"/>
  <c r="D262" i="6"/>
  <c r="F262" i="6" l="1"/>
  <c r="G262" i="6" s="1"/>
  <c r="E262" i="6"/>
  <c r="H262" i="6" l="1"/>
  <c r="I262" i="6" s="1"/>
  <c r="D263" i="6"/>
  <c r="E263" i="6" l="1"/>
  <c r="F263" i="6"/>
  <c r="G263" i="6" s="1"/>
  <c r="D264" i="6" l="1"/>
  <c r="H263" i="6"/>
  <c r="I263" i="6" s="1"/>
  <c r="E264" i="6" l="1"/>
  <c r="F264" i="6"/>
  <c r="G264" i="6" s="1"/>
  <c r="D265" i="6" l="1"/>
  <c r="H264" i="6"/>
  <c r="I264" i="6" s="1"/>
  <c r="E265" i="6" l="1"/>
  <c r="E266" i="6" s="1"/>
  <c r="F265" i="6"/>
  <c r="D266" i="6"/>
  <c r="F266" i="6" l="1"/>
  <c r="G265" i="6"/>
  <c r="D273" i="6" l="1"/>
  <c r="H265" i="6"/>
  <c r="H266" i="6" l="1"/>
  <c r="I265" i="6"/>
  <c r="E273" i="6"/>
  <c r="F273" i="6"/>
  <c r="G273" i="6" l="1"/>
  <c r="D274" i="6" l="1"/>
  <c r="H273" i="6"/>
  <c r="I273" i="6" l="1"/>
  <c r="E274" i="6"/>
  <c r="F274" i="6"/>
  <c r="G274" i="6" l="1"/>
  <c r="H274" i="6" l="1"/>
  <c r="D275" i="6"/>
  <c r="F275" i="6" l="1"/>
  <c r="E275" i="6"/>
  <c r="I274" i="6"/>
  <c r="G275" i="6" l="1"/>
  <c r="H275" i="6" l="1"/>
  <c r="D276" i="6"/>
  <c r="E276" i="6" l="1"/>
  <c r="F276" i="6"/>
  <c r="I275" i="6"/>
  <c r="G276" i="6" l="1"/>
  <c r="H276" i="6" l="1"/>
  <c r="D277" i="6"/>
  <c r="F277" i="6" l="1"/>
  <c r="E277" i="6"/>
  <c r="I276" i="6"/>
  <c r="G277" i="6" l="1"/>
  <c r="H277" i="6" l="1"/>
  <c r="D278" i="6"/>
  <c r="I277" i="6" l="1"/>
  <c r="E278" i="6"/>
  <c r="F278" i="6"/>
  <c r="G278" i="6" s="1"/>
  <c r="H278" i="6" l="1"/>
  <c r="I278" i="6" s="1"/>
  <c r="D279" i="6"/>
  <c r="F279" i="6" l="1"/>
  <c r="G279" i="6" s="1"/>
  <c r="E279" i="6"/>
  <c r="I279" i="6" l="1"/>
  <c r="H279" i="6"/>
  <c r="D280" i="6"/>
  <c r="E280" i="6" l="1"/>
  <c r="F280" i="6"/>
  <c r="G280" i="6" s="1"/>
  <c r="D281" i="6" l="1"/>
  <c r="H280" i="6"/>
  <c r="I280" i="6" s="1"/>
  <c r="F281" i="6" l="1"/>
  <c r="G281" i="6" s="1"/>
  <c r="E281" i="6"/>
  <c r="H281" i="6" l="1"/>
  <c r="I281" i="6" s="1"/>
  <c r="D282" i="6"/>
  <c r="E282" i="6" l="1"/>
  <c r="F282" i="6"/>
  <c r="G282" i="6" s="1"/>
  <c r="D283" i="6" l="1"/>
  <c r="H282" i="6"/>
  <c r="I282" i="6" s="1"/>
  <c r="F283" i="6" l="1"/>
  <c r="G283" i="6" s="1"/>
  <c r="E283" i="6"/>
  <c r="H283" i="6" l="1"/>
  <c r="I283" i="6" s="1"/>
  <c r="D284" i="6"/>
  <c r="E284" i="6" l="1"/>
  <c r="E285" i="6" s="1"/>
  <c r="F284" i="6"/>
  <c r="D285" i="6"/>
  <c r="F285" i="6" l="1"/>
  <c r="G284" i="6"/>
  <c r="H284" i="6" l="1"/>
  <c r="D292" i="6"/>
  <c r="E292" i="6" l="1"/>
  <c r="F292" i="6"/>
  <c r="H285" i="6"/>
  <c r="I284" i="6"/>
  <c r="G292" i="6" l="1"/>
  <c r="D293" i="6" l="1"/>
  <c r="H292" i="6"/>
  <c r="I292" i="6" l="1"/>
  <c r="E293" i="6"/>
  <c r="F293" i="6"/>
  <c r="G293" i="6" l="1"/>
  <c r="D294" i="6" l="1"/>
  <c r="H293" i="6"/>
  <c r="I293" i="6" l="1"/>
  <c r="F294" i="6"/>
  <c r="E294" i="6"/>
  <c r="G294" i="6" l="1"/>
  <c r="D295" i="6" l="1"/>
  <c r="H294" i="6"/>
  <c r="I294" i="6" l="1"/>
  <c r="E295" i="6"/>
  <c r="F295" i="6"/>
  <c r="G295" i="6" l="1"/>
  <c r="H295" i="6" l="1"/>
  <c r="D296" i="6"/>
  <c r="E296" i="6" l="1"/>
  <c r="F296" i="6"/>
  <c r="I295" i="6"/>
  <c r="G296" i="6" l="1"/>
  <c r="D297" i="6" l="1"/>
  <c r="H296" i="6"/>
  <c r="I296" i="6" l="1"/>
  <c r="E297" i="6"/>
  <c r="F297" i="6"/>
  <c r="G297" i="6" s="1"/>
  <c r="D298" i="6" l="1"/>
  <c r="H297" i="6"/>
  <c r="I297" i="6"/>
  <c r="F298" i="6" l="1"/>
  <c r="G298" i="6" s="1"/>
  <c r="E298" i="6"/>
  <c r="I298" i="6" l="1"/>
  <c r="H298" i="6"/>
  <c r="D299" i="6"/>
  <c r="E299" i="6" l="1"/>
  <c r="F299" i="6"/>
  <c r="G299" i="6" s="1"/>
  <c r="D300" i="6" l="1"/>
  <c r="H299" i="6"/>
  <c r="I299" i="6" s="1"/>
  <c r="F300" i="6" l="1"/>
  <c r="G300" i="6" s="1"/>
  <c r="E300" i="6"/>
  <c r="H300" i="6" l="1"/>
  <c r="I300" i="6" s="1"/>
  <c r="D301" i="6"/>
  <c r="E301" i="6" l="1"/>
  <c r="F301" i="6"/>
  <c r="G301" i="6" s="1"/>
  <c r="H301" i="6" l="1"/>
  <c r="I301" i="6" s="1"/>
  <c r="D302" i="6"/>
  <c r="E302" i="6" l="1"/>
  <c r="F302" i="6"/>
  <c r="G302" i="6" s="1"/>
  <c r="H302" i="6" l="1"/>
  <c r="I302" i="6" s="1"/>
  <c r="D303" i="6"/>
  <c r="F303" i="6" l="1"/>
  <c r="E303" i="6"/>
  <c r="E304" i="6" s="1"/>
  <c r="D304" i="6"/>
  <c r="F304" i="6" l="1"/>
  <c r="G303" i="6"/>
  <c r="D315" i="6" l="1"/>
  <c r="H303" i="6"/>
  <c r="H304" i="6" l="1"/>
  <c r="I303" i="6"/>
  <c r="E315" i="6"/>
  <c r="F315" i="6"/>
  <c r="G315" i="6" l="1"/>
  <c r="D316" i="6" l="1"/>
  <c r="H315" i="6"/>
  <c r="I315" i="6" l="1"/>
  <c r="E316" i="6"/>
  <c r="F316" i="6"/>
  <c r="G316" i="6" l="1"/>
  <c r="D317" i="6" l="1"/>
  <c r="H316" i="6"/>
  <c r="I316" i="6" l="1"/>
  <c r="E317" i="6"/>
  <c r="F317" i="6"/>
  <c r="G317" i="6" l="1"/>
  <c r="H317" i="6" l="1"/>
  <c r="D318" i="6"/>
  <c r="F318" i="6" l="1"/>
  <c r="E318" i="6"/>
  <c r="I317" i="6"/>
  <c r="G318" i="6" l="1"/>
  <c r="D319" i="6" l="1"/>
  <c r="H318" i="6"/>
  <c r="I318" i="6" l="1"/>
  <c r="E319" i="6"/>
  <c r="F319" i="6"/>
  <c r="G319" i="6" l="1"/>
  <c r="D320" i="6" l="1"/>
  <c r="H319" i="6"/>
  <c r="I319" i="6" l="1"/>
  <c r="F320" i="6"/>
  <c r="G320" i="6" s="1"/>
  <c r="E320" i="6"/>
  <c r="H320" i="6" l="1"/>
  <c r="I320" i="6" s="1"/>
  <c r="D321" i="6"/>
  <c r="F321" i="6" l="1"/>
  <c r="G321" i="6" s="1"/>
  <c r="E321" i="6"/>
  <c r="H321" i="6" l="1"/>
  <c r="I321" i="6" s="1"/>
  <c r="D322" i="6"/>
  <c r="E322" i="6" l="1"/>
  <c r="F322" i="6"/>
  <c r="G322" i="6" s="1"/>
  <c r="D323" i="6" l="1"/>
  <c r="H322" i="6"/>
  <c r="I322" i="6" s="1"/>
  <c r="E323" i="6" l="1"/>
  <c r="F323" i="6"/>
  <c r="G323" i="6" s="1"/>
  <c r="D324" i="6" l="1"/>
  <c r="H323" i="6"/>
  <c r="I323" i="6" s="1"/>
  <c r="E324" i="6" l="1"/>
  <c r="F324" i="6"/>
  <c r="G324" i="6" s="1"/>
  <c r="H324" i="6" l="1"/>
  <c r="I324" i="6" s="1"/>
  <c r="D325" i="6"/>
  <c r="F325" i="6" l="1"/>
  <c r="G325" i="6" s="1"/>
  <c r="E325" i="6"/>
  <c r="H325" i="6" l="1"/>
  <c r="I325" i="6" s="1"/>
  <c r="D326" i="6"/>
  <c r="E326" i="6" l="1"/>
  <c r="E327" i="6" s="1"/>
  <c r="F326" i="6"/>
  <c r="D327" i="6"/>
  <c r="F327" i="6" l="1"/>
  <c r="G326" i="6"/>
  <c r="H326" i="6" l="1"/>
  <c r="D334" i="6"/>
  <c r="H327" i="6" l="1"/>
  <c r="I326" i="6"/>
  <c r="F334" i="6"/>
  <c r="E334" i="6"/>
  <c r="G334" i="6" l="1"/>
  <c r="D335" i="6" l="1"/>
  <c r="H334" i="6"/>
  <c r="I334" i="6" l="1"/>
  <c r="E335" i="6"/>
  <c r="F335" i="6"/>
  <c r="G335" i="6" l="1"/>
  <c r="D336" i="6" l="1"/>
  <c r="H335" i="6"/>
  <c r="I335" i="6" l="1"/>
  <c r="F336" i="6"/>
  <c r="E336" i="6"/>
  <c r="G336" i="6" l="1"/>
  <c r="H336" i="6" l="1"/>
  <c r="D337" i="6"/>
  <c r="F337" i="6" l="1"/>
  <c r="E337" i="6"/>
  <c r="I336" i="6"/>
  <c r="G337" i="6" l="1"/>
  <c r="H337" i="6" l="1"/>
  <c r="D338" i="6"/>
  <c r="F338" i="6" l="1"/>
  <c r="E338" i="6"/>
  <c r="I337" i="6"/>
  <c r="G338" i="6" l="1"/>
  <c r="D339" i="6" l="1"/>
  <c r="H338" i="6"/>
  <c r="I338" i="6" l="1"/>
  <c r="E339" i="6"/>
  <c r="F339" i="6"/>
  <c r="G339" i="6" s="1"/>
  <c r="D340" i="6" l="1"/>
  <c r="H339" i="6"/>
  <c r="I339" i="6" s="1"/>
  <c r="E340" i="6" l="1"/>
  <c r="F340" i="6"/>
  <c r="G340" i="6" s="1"/>
  <c r="H340" i="6" l="1"/>
  <c r="I340" i="6" s="1"/>
  <c r="D341" i="6"/>
  <c r="E341" i="6" l="1"/>
  <c r="F341" i="6"/>
  <c r="G341" i="6" s="1"/>
  <c r="D342" i="6" l="1"/>
  <c r="H341" i="6"/>
  <c r="I341" i="6" s="1"/>
  <c r="F342" i="6" l="1"/>
  <c r="G342" i="6" s="1"/>
  <c r="E342" i="6"/>
  <c r="H342" i="6" l="1"/>
  <c r="I342" i="6" s="1"/>
  <c r="D343" i="6"/>
  <c r="E343" i="6" l="1"/>
  <c r="F343" i="6"/>
  <c r="G343" i="6" s="1"/>
  <c r="D344" i="6" l="1"/>
  <c r="H343" i="6"/>
  <c r="I343" i="6" s="1"/>
  <c r="E344" i="6" l="1"/>
  <c r="F344" i="6"/>
  <c r="G344" i="6" s="1"/>
  <c r="H344" i="6" l="1"/>
  <c r="I344" i="6" s="1"/>
  <c r="D345" i="6"/>
  <c r="E345" i="6" l="1"/>
  <c r="E346" i="6" s="1"/>
  <c r="F345" i="6"/>
  <c r="D346" i="6"/>
  <c r="F346" i="6" l="1"/>
  <c r="G345" i="6"/>
  <c r="D353" i="6" l="1"/>
  <c r="H345" i="6"/>
  <c r="H346" i="6" l="1"/>
  <c r="I345" i="6"/>
  <c r="F353" i="6"/>
  <c r="E353" i="6"/>
  <c r="G353" i="6" l="1"/>
  <c r="D354" i="6" l="1"/>
  <c r="H353" i="6"/>
  <c r="I353" i="6" l="1"/>
  <c r="F354" i="6"/>
  <c r="E354" i="6"/>
  <c r="G354" i="6" l="1"/>
  <c r="D355" i="6" l="1"/>
  <c r="H354" i="6"/>
  <c r="I354" i="6" l="1"/>
  <c r="F355" i="6"/>
  <c r="E355" i="6"/>
  <c r="G355" i="6" l="1"/>
  <c r="H355" i="6" l="1"/>
  <c r="D356" i="6"/>
  <c r="F356" i="6" l="1"/>
  <c r="E356" i="6"/>
  <c r="I355" i="6"/>
  <c r="G356" i="6" l="1"/>
  <c r="H356" i="6" l="1"/>
  <c r="D357" i="6"/>
  <c r="F357" i="6" l="1"/>
  <c r="E357" i="6"/>
  <c r="I356" i="6"/>
  <c r="G357" i="6" l="1"/>
  <c r="D358" i="6" l="1"/>
  <c r="H357" i="6"/>
  <c r="I357" i="6" l="1"/>
  <c r="F358" i="6"/>
  <c r="G358" i="6" s="1"/>
  <c r="E358" i="6"/>
  <c r="D359" i="6" l="1"/>
  <c r="H358" i="6"/>
  <c r="I358" i="6" s="1"/>
  <c r="F359" i="6" l="1"/>
  <c r="G359" i="6" s="1"/>
  <c r="E359" i="6"/>
  <c r="H359" i="6" l="1"/>
  <c r="I359" i="6" s="1"/>
  <c r="D360" i="6"/>
  <c r="F360" i="6" l="1"/>
  <c r="G360" i="6" s="1"/>
  <c r="E360" i="6"/>
  <c r="H360" i="6" l="1"/>
  <c r="I360" i="6" s="1"/>
  <c r="D361" i="6"/>
  <c r="E361" i="6" l="1"/>
  <c r="F361" i="6"/>
  <c r="G361" i="6" s="1"/>
  <c r="H361" i="6" l="1"/>
  <c r="I361" i="6" s="1"/>
  <c r="D362" i="6"/>
  <c r="E362" i="6" l="1"/>
  <c r="F362" i="6"/>
  <c r="G362" i="6" s="1"/>
  <c r="H362" i="6" l="1"/>
  <c r="I362" i="6" s="1"/>
  <c r="D363" i="6"/>
  <c r="E363" i="6" l="1"/>
  <c r="F363" i="6"/>
  <c r="G363" i="6" s="1"/>
  <c r="H363" i="6" l="1"/>
  <c r="I363" i="6" s="1"/>
  <c r="D364" i="6"/>
  <c r="F364" i="6" l="1"/>
  <c r="E364" i="6"/>
  <c r="E365" i="6" s="1"/>
  <c r="D365" i="6"/>
  <c r="F365" i="6" l="1"/>
  <c r="G364" i="6"/>
  <c r="H364" i="6" l="1"/>
  <c r="D379" i="6"/>
  <c r="E379" i="6" l="1"/>
  <c r="F379" i="6"/>
  <c r="H365" i="6"/>
  <c r="I364" i="6"/>
  <c r="G379" i="6" l="1"/>
  <c r="D380" i="6" l="1"/>
  <c r="H379" i="6"/>
  <c r="I379" i="6" l="1"/>
  <c r="F380" i="6"/>
  <c r="E380" i="6"/>
  <c r="G380" i="6" l="1"/>
  <c r="D381" i="6" l="1"/>
  <c r="H380" i="6"/>
  <c r="I380" i="6" l="1"/>
  <c r="E381" i="6"/>
  <c r="F381" i="6"/>
  <c r="G381" i="6" l="1"/>
  <c r="H381" i="6" l="1"/>
  <c r="D382" i="6"/>
  <c r="I381" i="6" l="1"/>
  <c r="E382" i="6"/>
  <c r="F382" i="6"/>
  <c r="G382" i="6" l="1"/>
  <c r="D383" i="6" l="1"/>
  <c r="H382" i="6"/>
  <c r="F383" i="6" l="1"/>
  <c r="E383" i="6"/>
  <c r="I382" i="6"/>
  <c r="G383" i="6" l="1"/>
  <c r="D384" i="6" l="1"/>
  <c r="H383" i="6"/>
  <c r="I383" i="6" l="1"/>
  <c r="E384" i="6"/>
  <c r="F384" i="6"/>
  <c r="G384" i="6" s="1"/>
  <c r="D385" i="6" l="1"/>
  <c r="H384" i="6"/>
  <c r="I384" i="6"/>
  <c r="E385" i="6" l="1"/>
  <c r="F385" i="6"/>
  <c r="G385" i="6" s="1"/>
  <c r="H385" i="6" l="1"/>
  <c r="I385" i="6" s="1"/>
  <c r="D386" i="6"/>
  <c r="E386" i="6" l="1"/>
  <c r="F386" i="6"/>
  <c r="G386" i="6" s="1"/>
  <c r="D387" i="6" l="1"/>
  <c r="H386" i="6"/>
  <c r="I386" i="6" s="1"/>
  <c r="E387" i="6" l="1"/>
  <c r="F387" i="6"/>
  <c r="G387" i="6" s="1"/>
  <c r="H387" i="6" l="1"/>
  <c r="I387" i="6" s="1"/>
  <c r="D388" i="6"/>
  <c r="E388" i="6" l="1"/>
  <c r="F388" i="6"/>
  <c r="G388" i="6" s="1"/>
  <c r="H388" i="6" l="1"/>
  <c r="I388" i="6" s="1"/>
  <c r="D389" i="6"/>
  <c r="F389" i="6" l="1"/>
  <c r="G389" i="6" s="1"/>
  <c r="E389" i="6"/>
  <c r="H389" i="6" l="1"/>
  <c r="I389" i="6" s="1"/>
  <c r="D390" i="6"/>
  <c r="F390" i="6" l="1"/>
  <c r="E390" i="6"/>
  <c r="E391" i="6" s="1"/>
  <c r="D391" i="6"/>
  <c r="F391" i="6" l="1"/>
  <c r="G390" i="6"/>
  <c r="H390" i="6" l="1"/>
  <c r="D398" i="6"/>
  <c r="E398" i="6" l="1"/>
  <c r="F398" i="6"/>
  <c r="H391" i="6"/>
  <c r="I390" i="6"/>
  <c r="G398" i="6" l="1"/>
  <c r="D399" i="6" l="1"/>
  <c r="H398" i="6"/>
  <c r="I398" i="6" l="1"/>
  <c r="E399" i="6"/>
  <c r="F399" i="6"/>
  <c r="G399" i="6" l="1"/>
  <c r="D400" i="6" l="1"/>
  <c r="H399" i="6"/>
  <c r="I399" i="6" l="1"/>
  <c r="F400" i="6"/>
  <c r="E400" i="6"/>
  <c r="G400" i="6" l="1"/>
  <c r="H400" i="6" l="1"/>
  <c r="D401" i="6"/>
  <c r="F401" i="6" l="1"/>
  <c r="E401" i="6"/>
  <c r="I400" i="6"/>
  <c r="G401" i="6" l="1"/>
  <c r="D402" i="6" l="1"/>
  <c r="H401" i="6"/>
  <c r="I401" i="6" l="1"/>
  <c r="F402" i="6"/>
  <c r="E402" i="6"/>
  <c r="G402" i="6" l="1"/>
  <c r="D403" i="6" l="1"/>
  <c r="H402" i="6"/>
  <c r="I402" i="6" l="1"/>
  <c r="F403" i="6"/>
  <c r="G403" i="6" s="1"/>
  <c r="E403" i="6"/>
  <c r="H403" i="6" l="1"/>
  <c r="I403" i="6" s="1"/>
  <c r="D404" i="6"/>
  <c r="E404" i="6" l="1"/>
  <c r="F404" i="6"/>
  <c r="G404" i="6" s="1"/>
  <c r="H404" i="6" l="1"/>
  <c r="I404" i="6" s="1"/>
  <c r="D405" i="6"/>
  <c r="E405" i="6" l="1"/>
  <c r="F405" i="6"/>
  <c r="G405" i="6" s="1"/>
  <c r="H405" i="6" l="1"/>
  <c r="I405" i="6" s="1"/>
  <c r="D406" i="6"/>
  <c r="F406" i="6" l="1"/>
  <c r="G406" i="6" s="1"/>
  <c r="E406" i="6"/>
  <c r="H406" i="6" l="1"/>
  <c r="I406" i="6" s="1"/>
  <c r="D407" i="6"/>
  <c r="E407" i="6" l="1"/>
  <c r="F407" i="6"/>
  <c r="G407" i="6" s="1"/>
  <c r="H407" i="6" l="1"/>
  <c r="I407" i="6" s="1"/>
  <c r="D408" i="6"/>
  <c r="E408" i="6" l="1"/>
  <c r="F408" i="6"/>
  <c r="G408" i="6" s="1"/>
  <c r="I408" i="6" l="1"/>
  <c r="H408" i="6"/>
  <c r="D409" i="6"/>
  <c r="F409" i="6" l="1"/>
  <c r="E409" i="6"/>
  <c r="E410" i="6" s="1"/>
  <c r="D410" i="6"/>
  <c r="F410" i="6" l="1"/>
  <c r="G409" i="6"/>
  <c r="H409" i="6" l="1"/>
  <c r="D417" i="6"/>
  <c r="E417" i="6" l="1"/>
  <c r="F417" i="6"/>
  <c r="H410" i="6"/>
  <c r="I409" i="6"/>
  <c r="G417" i="6" l="1"/>
  <c r="D418" i="6" l="1"/>
  <c r="H417" i="6"/>
  <c r="I417" i="6" l="1"/>
  <c r="F418" i="6"/>
  <c r="E418" i="6"/>
  <c r="G418" i="6" l="1"/>
  <c r="D419" i="6" l="1"/>
  <c r="H418" i="6"/>
  <c r="I418" i="6" l="1"/>
  <c r="F419" i="6"/>
  <c r="E419" i="6"/>
  <c r="G419" i="6" l="1"/>
  <c r="H419" i="6" l="1"/>
  <c r="D420" i="6"/>
  <c r="F420" i="6" l="1"/>
  <c r="E420" i="6"/>
  <c r="I419" i="6"/>
  <c r="G420" i="6" l="1"/>
  <c r="H420" i="6" l="1"/>
  <c r="D421" i="6"/>
  <c r="I420" i="6" l="1"/>
  <c r="F421" i="6"/>
  <c r="E421" i="6"/>
  <c r="G421" i="6" l="1"/>
  <c r="D422" i="6" l="1"/>
  <c r="H421" i="6"/>
  <c r="I421" i="6" l="1"/>
  <c r="E422" i="6"/>
  <c r="F422" i="6"/>
  <c r="G422" i="6" s="1"/>
  <c r="H422" i="6" l="1"/>
  <c r="D423" i="6"/>
  <c r="I422" i="6"/>
  <c r="E423" i="6" l="1"/>
  <c r="F423" i="6"/>
  <c r="G423" i="6" s="1"/>
  <c r="D424" i="6" l="1"/>
  <c r="H423" i="6"/>
  <c r="I423" i="6" s="1"/>
  <c r="E424" i="6" l="1"/>
  <c r="F424" i="6"/>
  <c r="G424" i="6" s="1"/>
  <c r="H424" i="6" l="1"/>
  <c r="I424" i="6" s="1"/>
  <c r="D425" i="6"/>
  <c r="E425" i="6" l="1"/>
  <c r="F425" i="6"/>
  <c r="G425" i="6" s="1"/>
  <c r="H425" i="6" l="1"/>
  <c r="I425" i="6" s="1"/>
  <c r="D426" i="6"/>
  <c r="E426" i="6" l="1"/>
  <c r="F426" i="6"/>
  <c r="G426" i="6" s="1"/>
  <c r="H426" i="6" l="1"/>
  <c r="I426" i="6" s="1"/>
  <c r="D427" i="6"/>
  <c r="F427" i="6" l="1"/>
  <c r="G427" i="6" s="1"/>
  <c r="E427" i="6"/>
  <c r="H427" i="6" l="1"/>
  <c r="I427" i="6" s="1"/>
  <c r="D428" i="6"/>
  <c r="E428" i="6" l="1"/>
  <c r="E429" i="6" s="1"/>
  <c r="F428" i="6"/>
  <c r="D429" i="6"/>
  <c r="F429" i="6" l="1"/>
  <c r="G428" i="6"/>
  <c r="D442" i="6" l="1"/>
  <c r="H428" i="6"/>
  <c r="H429" i="6" l="1"/>
  <c r="I428" i="6"/>
  <c r="F442" i="6"/>
  <c r="E442" i="6"/>
  <c r="G442" i="6" l="1"/>
  <c r="D443" i="6" l="1"/>
  <c r="H442" i="6"/>
  <c r="I442" i="6" l="1"/>
  <c r="E443" i="6"/>
  <c r="F443" i="6"/>
  <c r="G443" i="6" l="1"/>
  <c r="D444" i="6" l="1"/>
  <c r="H443" i="6"/>
  <c r="I443" i="6" l="1"/>
  <c r="E444" i="6"/>
  <c r="F444" i="6"/>
  <c r="G444" i="6" l="1"/>
  <c r="D445" i="6" l="1"/>
  <c r="H444" i="6"/>
  <c r="I444" i="6" l="1"/>
  <c r="E445" i="6"/>
  <c r="F445" i="6"/>
  <c r="G445" i="6" l="1"/>
  <c r="H445" i="6" l="1"/>
  <c r="D446" i="6"/>
  <c r="F446" i="6" l="1"/>
  <c r="E446" i="6"/>
  <c r="I445" i="6"/>
  <c r="G446" i="6" l="1"/>
  <c r="D447" i="6" l="1"/>
  <c r="H446" i="6"/>
  <c r="I446" i="6" l="1"/>
  <c r="F447" i="6"/>
  <c r="G447" i="6" s="1"/>
  <c r="E447" i="6"/>
  <c r="D448" i="6" l="1"/>
  <c r="H447" i="6"/>
  <c r="I447" i="6"/>
  <c r="E448" i="6" l="1"/>
  <c r="F448" i="6"/>
  <c r="G448" i="6" s="1"/>
  <c r="H448" i="6" l="1"/>
  <c r="I448" i="6" s="1"/>
  <c r="D449" i="6"/>
  <c r="E449" i="6" l="1"/>
  <c r="F449" i="6"/>
  <c r="G449" i="6" s="1"/>
  <c r="H449" i="6" l="1"/>
  <c r="I449" i="6" s="1"/>
  <c r="D450" i="6"/>
  <c r="F450" i="6" l="1"/>
  <c r="G450" i="6" s="1"/>
  <c r="E450" i="6"/>
  <c r="D451" i="6" l="1"/>
  <c r="H450" i="6"/>
  <c r="I450" i="6" s="1"/>
  <c r="F451" i="6" l="1"/>
  <c r="G451" i="6" s="1"/>
  <c r="E451" i="6"/>
  <c r="D452" i="6" l="1"/>
  <c r="H451" i="6"/>
  <c r="I451" i="6" s="1"/>
  <c r="E452" i="6" l="1"/>
  <c r="F452" i="6"/>
  <c r="G452" i="6" s="1"/>
  <c r="H452" i="6" l="1"/>
  <c r="I452" i="6" s="1"/>
  <c r="D453" i="6"/>
  <c r="F453" i="6" l="1"/>
  <c r="E453" i="6"/>
  <c r="E454" i="6" s="1"/>
  <c r="D454" i="6"/>
  <c r="F454" i="6" l="1"/>
  <c r="G453" i="6"/>
  <c r="D461" i="6" l="1"/>
  <c r="H453" i="6"/>
  <c r="H454" i="6" l="1"/>
  <c r="I453" i="6"/>
  <c r="F461" i="6"/>
  <c r="E461" i="6"/>
  <c r="G461" i="6" l="1"/>
  <c r="D462" i="6" l="1"/>
  <c r="H461" i="6"/>
  <c r="I461" i="6" l="1"/>
  <c r="F462" i="6"/>
  <c r="E462" i="6"/>
  <c r="G462" i="6" l="1"/>
  <c r="H462" i="6" l="1"/>
  <c r="D463" i="6"/>
  <c r="F463" i="6" l="1"/>
  <c r="E463" i="6"/>
  <c r="I462" i="6"/>
  <c r="G463" i="6" l="1"/>
  <c r="H463" i="6" l="1"/>
  <c r="D464" i="6"/>
  <c r="E464" i="6" l="1"/>
  <c r="F464" i="6"/>
  <c r="I463" i="6"/>
  <c r="G464" i="6" l="1"/>
  <c r="H464" i="6" l="1"/>
  <c r="D465" i="6"/>
  <c r="F465" i="6" l="1"/>
  <c r="E465" i="6"/>
  <c r="I464" i="6"/>
  <c r="G465" i="6" l="1"/>
  <c r="H465" i="6" l="1"/>
  <c r="D466" i="6"/>
  <c r="E466" i="6" l="1"/>
  <c r="F466" i="6"/>
  <c r="G466" i="6" s="1"/>
  <c r="I465" i="6"/>
  <c r="D467" i="6" l="1"/>
  <c r="H466" i="6"/>
  <c r="I466" i="6" s="1"/>
  <c r="F467" i="6" l="1"/>
  <c r="G467" i="6" s="1"/>
  <c r="E467" i="6"/>
  <c r="H467" i="6" l="1"/>
  <c r="I467" i="6" s="1"/>
  <c r="D468" i="6"/>
  <c r="E468" i="6" l="1"/>
  <c r="F468" i="6"/>
  <c r="G468" i="6" s="1"/>
  <c r="D469" i="6" l="1"/>
  <c r="H468" i="6"/>
  <c r="I468" i="6" s="1"/>
  <c r="E469" i="6" l="1"/>
  <c r="F469" i="6"/>
  <c r="G469" i="6" s="1"/>
  <c r="D470" i="6" l="1"/>
  <c r="H469" i="6"/>
  <c r="I469" i="6" s="1"/>
  <c r="E470" i="6" l="1"/>
  <c r="F470" i="6"/>
  <c r="G470" i="6" s="1"/>
  <c r="D471" i="6" l="1"/>
  <c r="H470" i="6"/>
  <c r="I470" i="6" s="1"/>
  <c r="E471" i="6" l="1"/>
  <c r="F471" i="6"/>
  <c r="G471" i="6" s="1"/>
  <c r="H471" i="6" l="1"/>
  <c r="I471" i="6" s="1"/>
  <c r="D472" i="6"/>
  <c r="F472" i="6" l="1"/>
  <c r="E472" i="6"/>
  <c r="E473" i="6" s="1"/>
  <c r="D473" i="6"/>
  <c r="F473" i="6" l="1"/>
  <c r="G472" i="6"/>
  <c r="H472" i="6" l="1"/>
  <c r="D480" i="6"/>
  <c r="F480" i="6" l="1"/>
  <c r="E480" i="6"/>
  <c r="H473" i="6"/>
  <c r="I472" i="6"/>
  <c r="G480" i="6" l="1"/>
  <c r="H480" i="6" l="1"/>
  <c r="D481" i="6"/>
  <c r="F481" i="6" l="1"/>
  <c r="E481" i="6"/>
  <c r="I480" i="6"/>
  <c r="G481" i="6" l="1"/>
  <c r="H481" i="6" l="1"/>
  <c r="D482" i="6"/>
  <c r="F482" i="6" l="1"/>
  <c r="E482" i="6"/>
  <c r="I481" i="6"/>
  <c r="G482" i="6" l="1"/>
  <c r="H482" i="6" l="1"/>
  <c r="D483" i="6"/>
  <c r="E483" i="6" l="1"/>
  <c r="F483" i="6"/>
  <c r="I482" i="6"/>
  <c r="G483" i="6" l="1"/>
  <c r="H483" i="6" l="1"/>
  <c r="D484" i="6"/>
  <c r="F484" i="6" l="1"/>
  <c r="E484" i="6"/>
  <c r="I483" i="6"/>
  <c r="G484" i="6" l="1"/>
  <c r="D485" i="6" l="1"/>
  <c r="H484" i="6"/>
  <c r="I484" i="6" l="1"/>
  <c r="F485" i="6"/>
  <c r="G485" i="6" s="1"/>
  <c r="E485" i="6"/>
  <c r="H485" i="6" l="1"/>
  <c r="D486" i="6"/>
  <c r="I485" i="6"/>
  <c r="E486" i="6" l="1"/>
  <c r="F486" i="6"/>
  <c r="G486" i="6" s="1"/>
  <c r="H486" i="6" l="1"/>
  <c r="I486" i="6" s="1"/>
  <c r="D487" i="6"/>
  <c r="E487" i="6" l="1"/>
  <c r="F487" i="6"/>
  <c r="G487" i="6" s="1"/>
  <c r="H487" i="6" l="1"/>
  <c r="I487" i="6" s="1"/>
  <c r="D488" i="6"/>
  <c r="E488" i="6" l="1"/>
  <c r="F488" i="6"/>
  <c r="G488" i="6" s="1"/>
  <c r="H488" i="6" l="1"/>
  <c r="I488" i="6" s="1"/>
  <c r="D489" i="6"/>
  <c r="E489" i="6" l="1"/>
  <c r="F489" i="6"/>
  <c r="G489" i="6" s="1"/>
  <c r="H489" i="6" l="1"/>
  <c r="I489" i="6" s="1"/>
  <c r="D490" i="6"/>
  <c r="E490" i="6" l="1"/>
  <c r="F490" i="6"/>
  <c r="G490" i="6" s="1"/>
  <c r="H490" i="6" l="1"/>
  <c r="I490" i="6" s="1"/>
  <c r="D491" i="6"/>
  <c r="F491" i="6" l="1"/>
  <c r="E491" i="6"/>
  <c r="E492" i="6" s="1"/>
  <c r="D492" i="6"/>
  <c r="F492" i="6" l="1"/>
  <c r="G491" i="6"/>
  <c r="D505" i="6" l="1"/>
  <c r="H491" i="6"/>
  <c r="H492" i="6" l="1"/>
  <c r="I491" i="6"/>
  <c r="F505" i="6"/>
  <c r="E505" i="6"/>
  <c r="G505" i="6" l="1"/>
  <c r="H505" i="6" l="1"/>
  <c r="D506" i="6"/>
  <c r="E506" i="6" l="1"/>
  <c r="F506" i="6"/>
  <c r="I505" i="6"/>
  <c r="G506" i="6" l="1"/>
  <c r="H506" i="6" l="1"/>
  <c r="D507" i="6"/>
  <c r="F507" i="6" l="1"/>
  <c r="E507" i="6"/>
  <c r="I506" i="6"/>
  <c r="G507" i="6" l="1"/>
  <c r="H507" i="6" l="1"/>
  <c r="D508" i="6"/>
  <c r="E508" i="6" l="1"/>
  <c r="F508" i="6"/>
  <c r="I507" i="6"/>
  <c r="G508" i="6" l="1"/>
  <c r="H508" i="6" l="1"/>
  <c r="D509" i="6"/>
  <c r="E509" i="6" l="1"/>
  <c r="F509" i="6"/>
  <c r="I508" i="6"/>
  <c r="G509" i="6" l="1"/>
  <c r="D510" i="6" l="1"/>
  <c r="H509" i="6"/>
  <c r="I509" i="6" l="1"/>
  <c r="E510" i="6"/>
  <c r="F510" i="6"/>
  <c r="G510" i="6" s="1"/>
  <c r="D511" i="6" l="1"/>
  <c r="H510" i="6"/>
  <c r="I510" i="6" s="1"/>
  <c r="F511" i="6" l="1"/>
  <c r="G511" i="6" s="1"/>
  <c r="E511" i="6"/>
  <c r="D512" i="6" l="1"/>
  <c r="H511" i="6"/>
  <c r="I511" i="6" s="1"/>
  <c r="E512" i="6" l="1"/>
  <c r="F512" i="6"/>
  <c r="G512" i="6" s="1"/>
  <c r="H512" i="6" l="1"/>
  <c r="I512" i="6" s="1"/>
  <c r="D513" i="6"/>
  <c r="F513" i="6" l="1"/>
  <c r="G513" i="6" s="1"/>
  <c r="E513" i="6"/>
  <c r="H513" i="6" l="1"/>
  <c r="I513" i="6" s="1"/>
  <c r="D514" i="6"/>
  <c r="E514" i="6" l="1"/>
  <c r="F514" i="6"/>
  <c r="G514" i="6" s="1"/>
  <c r="H514" i="6" l="1"/>
  <c r="I514" i="6" s="1"/>
  <c r="D515" i="6"/>
  <c r="F515" i="6" l="1"/>
  <c r="G515" i="6" s="1"/>
  <c r="E515" i="6"/>
  <c r="H515" i="6" l="1"/>
  <c r="I515" i="6" s="1"/>
  <c r="D516" i="6"/>
  <c r="F516" i="6" l="1"/>
  <c r="E516" i="6"/>
  <c r="E517" i="6" s="1"/>
  <c r="D517" i="6"/>
  <c r="F517" i="6" l="1"/>
  <c r="G516" i="6"/>
  <c r="D524" i="6" l="1"/>
  <c r="H516" i="6"/>
  <c r="H517" i="6" l="1"/>
  <c r="I516" i="6"/>
  <c r="E524" i="6"/>
  <c r="F524" i="6"/>
  <c r="G524" i="6" l="1"/>
  <c r="D525" i="6" l="1"/>
  <c r="H524" i="6"/>
  <c r="I524" i="6" l="1"/>
  <c r="F525" i="6"/>
  <c r="E525" i="6"/>
  <c r="G525" i="6" l="1"/>
  <c r="H525" i="6" l="1"/>
  <c r="D526" i="6"/>
  <c r="F526" i="6" l="1"/>
  <c r="E526" i="6"/>
  <c r="I525" i="6"/>
  <c r="G526" i="6" l="1"/>
  <c r="D527" i="6" l="1"/>
  <c r="H526" i="6"/>
  <c r="I526" i="6" l="1"/>
  <c r="E527" i="6"/>
  <c r="F527" i="6"/>
  <c r="G527" i="6" l="1"/>
  <c r="H527" i="6" l="1"/>
  <c r="D528" i="6"/>
  <c r="F528" i="6" l="1"/>
  <c r="E528" i="6"/>
  <c r="I527" i="6"/>
  <c r="G528" i="6" l="1"/>
  <c r="D529" i="6" l="1"/>
  <c r="H528" i="6"/>
  <c r="I528" i="6" l="1"/>
  <c r="E529" i="6"/>
  <c r="F529" i="6"/>
  <c r="G529" i="6" s="1"/>
  <c r="H529" i="6" l="1"/>
  <c r="D530" i="6"/>
  <c r="I529" i="6"/>
  <c r="F530" i="6" l="1"/>
  <c r="G530" i="6" s="1"/>
  <c r="E530" i="6"/>
  <c r="D531" i="6" l="1"/>
  <c r="H530" i="6"/>
  <c r="I530" i="6" s="1"/>
  <c r="E531" i="6" l="1"/>
  <c r="F531" i="6"/>
  <c r="G531" i="6" s="1"/>
  <c r="D532" i="6" l="1"/>
  <c r="H531" i="6"/>
  <c r="I531" i="6" s="1"/>
  <c r="F532" i="6" l="1"/>
  <c r="G532" i="6" s="1"/>
  <c r="E532" i="6"/>
  <c r="H532" i="6" l="1"/>
  <c r="I532" i="6" s="1"/>
  <c r="D533" i="6"/>
  <c r="E533" i="6" l="1"/>
  <c r="F533" i="6"/>
  <c r="G533" i="6" s="1"/>
  <c r="H533" i="6" l="1"/>
  <c r="I533" i="6" s="1"/>
  <c r="D534" i="6"/>
  <c r="F534" i="6" l="1"/>
  <c r="G534" i="6" s="1"/>
  <c r="E534" i="6"/>
  <c r="H534" i="6" l="1"/>
  <c r="I534" i="6" s="1"/>
  <c r="D535" i="6"/>
  <c r="F535" i="6" l="1"/>
  <c r="E535" i="6"/>
  <c r="E536" i="6" s="1"/>
  <c r="D536" i="6"/>
  <c r="F536" i="6" l="1"/>
  <c r="G535" i="6"/>
  <c r="H535" i="6" l="1"/>
  <c r="D543" i="6"/>
  <c r="F543" i="6" l="1"/>
  <c r="E543" i="6"/>
  <c r="H536" i="6"/>
  <c r="I535" i="6"/>
  <c r="G543" i="6" l="1"/>
  <c r="D544" i="6" l="1"/>
  <c r="H543" i="6"/>
  <c r="I543" i="6" l="1"/>
  <c r="E544" i="6"/>
  <c r="F544" i="6"/>
  <c r="G544" i="6" l="1"/>
  <c r="H544" i="6" l="1"/>
  <c r="D545" i="6"/>
  <c r="I544" i="6" l="1"/>
  <c r="F545" i="6"/>
  <c r="E545" i="6"/>
  <c r="G545" i="6" l="1"/>
  <c r="H545" i="6" l="1"/>
  <c r="D546" i="6"/>
  <c r="I545" i="6" l="1"/>
  <c r="E546" i="6"/>
  <c r="F546" i="6"/>
  <c r="G546" i="6" l="1"/>
  <c r="H546" i="6" l="1"/>
  <c r="D547" i="6"/>
  <c r="F547" i="6" l="1"/>
  <c r="E547" i="6"/>
  <c r="I546" i="6"/>
  <c r="G547" i="6" l="1"/>
  <c r="D548" i="6" l="1"/>
  <c r="H547" i="6"/>
  <c r="I547" i="6" l="1"/>
  <c r="F548" i="6"/>
  <c r="G548" i="6" s="1"/>
  <c r="E548" i="6"/>
  <c r="D549" i="6" l="1"/>
  <c r="H548" i="6"/>
  <c r="I548" i="6"/>
  <c r="F549" i="6" l="1"/>
  <c r="G549" i="6" s="1"/>
  <c r="E549" i="6"/>
  <c r="H549" i="6" l="1"/>
  <c r="I549" i="6" s="1"/>
  <c r="D550" i="6"/>
  <c r="E550" i="6" l="1"/>
  <c r="F550" i="6"/>
  <c r="G550" i="6" s="1"/>
  <c r="D551" i="6" l="1"/>
  <c r="H550" i="6"/>
  <c r="I550" i="6" s="1"/>
  <c r="F551" i="6" l="1"/>
  <c r="G551" i="6" s="1"/>
  <c r="E551" i="6"/>
  <c r="I551" i="6" l="1"/>
  <c r="H551" i="6"/>
  <c r="D552" i="6"/>
  <c r="E552" i="6" l="1"/>
  <c r="F552" i="6"/>
  <c r="G552" i="6" s="1"/>
  <c r="H552" i="6" l="1"/>
  <c r="I552" i="6" s="1"/>
  <c r="D553" i="6"/>
  <c r="F553" i="6" l="1"/>
  <c r="G553" i="6" s="1"/>
  <c r="E553" i="6"/>
  <c r="D554" i="6" l="1"/>
  <c r="H553" i="6"/>
  <c r="I553" i="6" s="1"/>
  <c r="F554" i="6" l="1"/>
  <c r="E554" i="6"/>
  <c r="E555" i="6" s="1"/>
  <c r="D555" i="6"/>
  <c r="F555" i="6" l="1"/>
  <c r="M4" i="6" s="1"/>
  <c r="G554" i="6"/>
  <c r="H554" i="6" s="1"/>
  <c r="H555" i="6" s="1"/>
  <c r="M2" i="6" s="1"/>
  <c r="I554" i="6"/>
</calcChain>
</file>

<file path=xl/sharedStrings.xml><?xml version="1.0" encoding="utf-8"?>
<sst xmlns="http://schemas.openxmlformats.org/spreadsheetml/2006/main" count="2645" uniqueCount="131">
  <si>
    <t>Noncustodial Parent:</t>
  </si>
  <si>
    <t xml:space="preserve">       Custodial Parent:</t>
  </si>
  <si>
    <t>Year</t>
  </si>
  <si>
    <t>Month</t>
  </si>
  <si>
    <t>Support Due</t>
  </si>
  <si>
    <t>Amount Paid</t>
  </si>
  <si>
    <t>Balance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</si>
  <si>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</si>
  <si>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</si>
  <si>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</si>
  <si>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</si>
  <si>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</si>
  <si>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</si>
  <si>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</si>
  <si>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</si>
  <si>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</si>
  <si>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</si>
  <si>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</si>
  <si>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</si>
  <si>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</si>
  <si>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Prepared By:</t>
  </si>
  <si>
    <t xml:space="preserve">         Agency:</t>
  </si>
  <si>
    <t>Office of Child Support</t>
  </si>
  <si>
    <t xml:space="preserve">    Signature:</t>
  </si>
  <si>
    <t>Balance as of:</t>
  </si>
  <si>
    <t>Total This Page:</t>
  </si>
  <si>
    <t xml:space="preserve"> </t>
  </si>
  <si>
    <t>Surcharge</t>
  </si>
  <si>
    <t>Total Balance Due:</t>
  </si>
  <si>
    <t xml:space="preserve">Cumulative </t>
  </si>
  <si>
    <t>Current/Arrears</t>
  </si>
  <si>
    <t xml:space="preserve">Surcharge </t>
  </si>
  <si>
    <t xml:space="preserve">             Date:</t>
  </si>
  <si>
    <t>Arrears</t>
  </si>
  <si>
    <t>this Month</t>
  </si>
  <si>
    <t>Total Paid</t>
  </si>
  <si>
    <t xml:space="preserve">  </t>
  </si>
  <si>
    <t>CASE ACCOUNTING AFFIDAVIT</t>
  </si>
  <si>
    <t>Docket Number:</t>
  </si>
  <si>
    <t>Date of last Child Support Order:</t>
  </si>
  <si>
    <t>Current Child Support:</t>
  </si>
  <si>
    <t>Current Maintenance Supplement:</t>
  </si>
  <si>
    <t>Current Spousal Support:</t>
  </si>
  <si>
    <t>Surcharge rate:</t>
  </si>
  <si>
    <t>Summary of Previous Child Support Order</t>
  </si>
  <si>
    <t>Notary Public Name     Commission Expiration Date</t>
  </si>
  <si>
    <t xml:space="preserve">Monthly </t>
  </si>
  <si>
    <t>Balance Due</t>
  </si>
  <si>
    <t>Type:</t>
  </si>
  <si>
    <t>Date:</t>
  </si>
  <si>
    <t>Current Cash Medical Support:</t>
  </si>
  <si>
    <t>Service Fees:</t>
  </si>
  <si>
    <t>Attorney Fees:</t>
  </si>
  <si>
    <t>Case ID:</t>
  </si>
  <si>
    <t>Past due Child Support:</t>
  </si>
  <si>
    <t>Medical Expenses:</t>
  </si>
  <si>
    <t>Civil Penalty:</t>
  </si>
  <si>
    <t>Surcharge:</t>
  </si>
  <si>
    <t>Cash Medical:</t>
  </si>
  <si>
    <t>Spousal:</t>
  </si>
  <si>
    <t>Other:</t>
  </si>
  <si>
    <t>Sworn and signed before me on this date in the County and State of VT</t>
  </si>
  <si>
    <t>Temp/Cond. Arrears:</t>
  </si>
  <si>
    <t xml:space="preserve">as of </t>
  </si>
  <si>
    <t>as of</t>
  </si>
  <si>
    <t>Number of Pages:</t>
  </si>
  <si>
    <t>Terms of last Child Support Order:</t>
  </si>
  <si>
    <t>Public Assistance</t>
  </si>
  <si>
    <t>Non-Public Assistance</t>
  </si>
  <si>
    <t>Notary Public Name</t>
  </si>
  <si>
    <t>Commission Expiration Date</t>
  </si>
  <si>
    <t>Total this page:</t>
  </si>
  <si>
    <t>NonCustodial Parent:</t>
  </si>
  <si>
    <t>Custodial Parent:</t>
  </si>
  <si>
    <t>Complete</t>
  </si>
  <si>
    <t>PA Medical</t>
  </si>
  <si>
    <t>NPA</t>
  </si>
  <si>
    <t>NPA Medical</t>
  </si>
  <si>
    <t>PA Spousal</t>
  </si>
  <si>
    <t>NPA Spousal</t>
  </si>
  <si>
    <t>PA Service Fees</t>
  </si>
  <si>
    <t>PA Civil Penalty</t>
  </si>
  <si>
    <t>PA Attorney Fees</t>
  </si>
  <si>
    <t>PA Cash Medical</t>
  </si>
  <si>
    <t>PA Other</t>
  </si>
  <si>
    <t>Temporary</t>
  </si>
  <si>
    <t>Conditional</t>
  </si>
  <si>
    <t>NPA Service Fees</t>
  </si>
  <si>
    <t>NPA Civil Penalty</t>
  </si>
  <si>
    <t>NPA Attorney Fees</t>
  </si>
  <si>
    <t>NPA Other</t>
  </si>
  <si>
    <t>M2 is surcharge calculation</t>
  </si>
  <si>
    <t>M4 is monthly balances due.</t>
  </si>
  <si>
    <t>Cumulative arrears starting point</t>
  </si>
  <si>
    <t>NPA Cash Medical</t>
  </si>
  <si>
    <t>Surcharge due</t>
  </si>
  <si>
    <t xml:space="preserve">Monthly totals paid </t>
  </si>
  <si>
    <t>PA</t>
  </si>
  <si>
    <t>Cummulative arrears starting point section 2</t>
  </si>
  <si>
    <t>Recoupment</t>
  </si>
  <si>
    <t>Held</t>
  </si>
  <si>
    <t>Current Case Accounting Summary</t>
  </si>
  <si>
    <t>CASE ACCOUNTING AFFIDAVIT--SURCHARGE</t>
  </si>
  <si>
    <t>CASE ACCOUNTING AFFIDAVIT--SIMPLE SURCHARGE</t>
  </si>
  <si>
    <t>Surcharge sheet codes:</t>
  </si>
  <si>
    <t>S</t>
  </si>
  <si>
    <t>N</t>
  </si>
  <si>
    <t>J</t>
  </si>
  <si>
    <t>B</t>
  </si>
  <si>
    <t>E</t>
  </si>
  <si>
    <t>Z</t>
  </si>
  <si>
    <t>Start surcharge calculation with only judgment for type of affidavit requested. Surcharge does not come down as part of surcharge calculation.</t>
  </si>
  <si>
    <t>No surcharge added for this month</t>
  </si>
  <si>
    <t xml:space="preserve">Removes cumulative arrears, surcharge this month, and cumulative surcharge from beginning of surcharge affidavit. </t>
  </si>
  <si>
    <t>Start surcharge calculation with previous surcharge added to cumulative surcharge</t>
  </si>
  <si>
    <t>No surcharge added for this month and end surcharge calculation.</t>
  </si>
  <si>
    <t>End surcharge calculation and include surcharge for this month.</t>
  </si>
  <si>
    <t>Types of affidavits that can be completed.</t>
  </si>
  <si>
    <t>See sheet 4 for list.</t>
  </si>
  <si>
    <t xml:space="preserve">per </t>
  </si>
  <si>
    <t>effective</t>
  </si>
  <si>
    <t>per</t>
  </si>
  <si>
    <t>6 percent per annum effective January 1, 2012</t>
  </si>
  <si>
    <t>12 percent per annum prior to January 1, 2012</t>
  </si>
  <si>
    <t>Rate</t>
  </si>
  <si>
    <t xml:space="preserve">    </t>
  </si>
  <si>
    <t>I declare that the above statement is true and accurate</t>
  </si>
  <si>
    <t>to the best of my knowledge and belief. I understand that</t>
  </si>
  <si>
    <t xml:space="preserve">if the above statement is false, I will be subject to the </t>
  </si>
  <si>
    <t>Exempt as a Law Enforcement-Related Employee</t>
  </si>
  <si>
    <t>penalty of perjury.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</si>
</sst>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.00"/>
    <numFmt numFmtId="166" formatCode="mm/dd/yyyy"/>
    <numFmt numFmtId="167" formatCode="\ "/>
    <numFmt numFmtId="168" formatCode="m/d/yyyy;@"/>
    <numFmt numFmtId="169" formatCode="mm/dd/yy;@"/>
    <numFmt numFmtId="170" formatCode="[$-409]mmmm\ d\,\ yyyy;@"/>
  </numFmts>
  <fonts count="11" x14ac:knownFonts="1">
    <font>
      <sz val="10"/>
      <name val="Arial"/>
      <family val="2"/>
    </font>
    <font>
      <b/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Horizontal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darkHorizontal">
        <fgColor indexed="9"/>
        <b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darkHorizontal">
        <fgColor indexed="9"/>
        <b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0" xfId="0" applyFont="1" applyFill="1"/>
    <xf numFmtId="0" fontId="4" fillId="2" borderId="0" xfId="0" applyFont="1" applyFill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0" fillId="0" borderId="0" xfId="0" applyNumberFormat="1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44" fontId="5" fillId="0" borderId="0" xfId="1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3" fillId="0" borderId="2" xfId="0" applyFont="1" applyBorder="1" applyProtection="1">
      <protection locked="0"/>
    </xf>
    <xf numFmtId="44" fontId="5" fillId="0" borderId="1" xfId="1" applyFont="1" applyBorder="1" applyProtection="1">
      <protection locked="0"/>
    </xf>
    <xf numFmtId="44" fontId="5" fillId="0" borderId="0" xfId="1" applyFont="1" applyProtection="1">
      <protection locked="0"/>
    </xf>
    <xf numFmtId="44" fontId="4" fillId="0" borderId="0" xfId="1" applyFont="1" applyProtection="1"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0" xfId="0" applyFont="1" applyAlignment="1"/>
    <xf numFmtId="0" fontId="5" fillId="0" borderId="2" xfId="0" applyFont="1" applyBorder="1"/>
    <xf numFmtId="0" fontId="5" fillId="0" borderId="2" xfId="0" applyFont="1" applyBorder="1" applyAlignment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Fill="1" applyBorder="1" applyAlignment="1"/>
    <xf numFmtId="14" fontId="5" fillId="0" borderId="5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168" fontId="5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166" fontId="2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/>
    </xf>
    <xf numFmtId="44" fontId="7" fillId="4" borderId="0" xfId="0" applyNumberFormat="1" applyFont="1" applyFill="1" applyBorder="1"/>
    <xf numFmtId="0" fontId="4" fillId="4" borderId="0" xfId="0" applyFont="1" applyFill="1"/>
    <xf numFmtId="168" fontId="0" fillId="4" borderId="0" xfId="0" applyNumberFormat="1" applyFill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</xf>
    <xf numFmtId="44" fontId="5" fillId="4" borderId="1" xfId="1" applyFont="1" applyFill="1" applyBorder="1"/>
    <xf numFmtId="44" fontId="5" fillId="4" borderId="6" xfId="1" applyFont="1" applyFill="1" applyBorder="1"/>
    <xf numFmtId="44" fontId="5" fillId="4" borderId="7" xfId="0" applyNumberFormat="1" applyFont="1" applyFill="1" applyBorder="1"/>
    <xf numFmtId="44" fontId="5" fillId="4" borderId="1" xfId="0" applyNumberFormat="1" applyFont="1" applyFill="1" applyBorder="1"/>
    <xf numFmtId="44" fontId="0" fillId="4" borderId="1" xfId="0" applyNumberFormat="1" applyFill="1" applyBorder="1"/>
    <xf numFmtId="44" fontId="4" fillId="4" borderId="1" xfId="1" applyFont="1" applyFill="1" applyBorder="1"/>
    <xf numFmtId="44" fontId="4" fillId="5" borderId="1" xfId="1" applyFont="1" applyFill="1" applyBorder="1"/>
    <xf numFmtId="44" fontId="6" fillId="4" borderId="1" xfId="0" applyNumberFormat="1" applyFont="1" applyFill="1" applyBorder="1"/>
    <xf numFmtId="0" fontId="0" fillId="4" borderId="1" xfId="0" applyFill="1" applyBorder="1"/>
    <xf numFmtId="166" fontId="5" fillId="0" borderId="0" xfId="0" applyNumberFormat="1" applyFont="1" applyAlignment="1">
      <alignment horizontal="left"/>
    </xf>
    <xf numFmtId="44" fontId="0" fillId="4" borderId="0" xfId="0" applyNumberFormat="1" applyFill="1"/>
    <xf numFmtId="0" fontId="5" fillId="0" borderId="0" xfId="0" applyFont="1" applyAlignment="1">
      <alignment horizontal="center"/>
    </xf>
    <xf numFmtId="0" fontId="5" fillId="4" borderId="0" xfId="0" applyFont="1" applyFill="1" applyAlignment="1" applyProtection="1">
      <alignment horizontal="left"/>
    </xf>
    <xf numFmtId="0" fontId="5" fillId="0" borderId="0" xfId="0" applyNumberFormat="1" applyFont="1" applyAlignment="1">
      <alignment horizontal="center"/>
    </xf>
    <xf numFmtId="44" fontId="7" fillId="4" borderId="0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7" fontId="0" fillId="4" borderId="0" xfId="0" applyNumberFormat="1" applyFill="1" applyAlignment="1">
      <alignment horizontal="center"/>
    </xf>
    <xf numFmtId="167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7" fontId="0" fillId="2" borderId="0" xfId="0" applyNumberFormat="1" applyFill="1" applyAlignment="1"/>
    <xf numFmtId="44" fontId="4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4" fontId="7" fillId="4" borderId="8" xfId="0" applyNumberFormat="1" applyFont="1" applyFill="1" applyBorder="1"/>
    <xf numFmtId="0" fontId="0" fillId="0" borderId="8" xfId="0" applyBorder="1"/>
    <xf numFmtId="14" fontId="5" fillId="0" borderId="8" xfId="0" applyNumberFormat="1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5" xfId="0" applyFont="1" applyFill="1" applyBorder="1" applyProtection="1"/>
    <xf numFmtId="44" fontId="5" fillId="4" borderId="0" xfId="1" applyNumberFormat="1" applyFont="1" applyFill="1" applyProtection="1"/>
    <xf numFmtId="0" fontId="4" fillId="4" borderId="0" xfId="0" applyFont="1" applyFill="1" applyProtection="1"/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168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/>
    <xf numFmtId="0" fontId="0" fillId="0" borderId="5" xfId="0" applyBorder="1" applyProtection="1"/>
    <xf numFmtId="0" fontId="0" fillId="0" borderId="0" xfId="0" applyBorder="1" applyProtection="1"/>
    <xf numFmtId="0" fontId="5" fillId="0" borderId="2" xfId="0" applyFont="1" applyBorder="1" applyProtection="1"/>
    <xf numFmtId="0" fontId="5" fillId="0" borderId="2" xfId="0" applyFont="1" applyBorder="1" applyAlignment="1" applyProtection="1"/>
    <xf numFmtId="0" fontId="5" fillId="0" borderId="2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0" borderId="0" xfId="0" applyFont="1" applyBorder="1" applyAlignment="1" applyProtection="1"/>
    <xf numFmtId="44" fontId="4" fillId="0" borderId="0" xfId="0" applyNumberFormat="1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0" xfId="0" applyFont="1" applyProtection="1"/>
    <xf numFmtId="0" fontId="5" fillId="0" borderId="0" xfId="0" applyNumberFormat="1" applyFont="1" applyAlignment="1" applyProtection="1">
      <alignment horizontal="center"/>
    </xf>
    <xf numFmtId="44" fontId="5" fillId="0" borderId="8" xfId="0" applyNumberFormat="1" applyFont="1" applyBorder="1" applyProtection="1"/>
    <xf numFmtId="0" fontId="5" fillId="0" borderId="0" xfId="0" applyFont="1" applyFill="1" applyBorder="1" applyAlignment="1" applyProtection="1"/>
    <xf numFmtId="14" fontId="5" fillId="0" borderId="8" xfId="0" applyNumberFormat="1" applyFont="1" applyBorder="1" applyAlignment="1" applyProtection="1">
      <alignment horizontal="center"/>
    </xf>
    <xf numFmtId="14" fontId="5" fillId="0" borderId="0" xfId="0" applyNumberFormat="1" applyFont="1" applyAlignment="1" applyProtection="1">
      <alignment horizontal="left"/>
    </xf>
    <xf numFmtId="14" fontId="5" fillId="0" borderId="0" xfId="0" applyNumberFormat="1" applyFont="1" applyProtection="1"/>
    <xf numFmtId="0" fontId="5" fillId="0" borderId="5" xfId="0" applyFont="1" applyBorder="1" applyAlignment="1" applyProtection="1">
      <alignment horizontal="right"/>
    </xf>
    <xf numFmtId="0" fontId="5" fillId="0" borderId="5" xfId="0" applyFont="1" applyBorder="1" applyProtection="1"/>
    <xf numFmtId="14" fontId="5" fillId="0" borderId="5" xfId="0" applyNumberFormat="1" applyFont="1" applyBorder="1" applyProtection="1"/>
    <xf numFmtId="14" fontId="0" fillId="0" borderId="5" xfId="0" applyNumberFormat="1" applyBorder="1" applyProtection="1"/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Protection="1"/>
    <xf numFmtId="0" fontId="5" fillId="2" borderId="1" xfId="0" applyFont="1" applyFill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5" fillId="3" borderId="1" xfId="0" applyFont="1" applyFill="1" applyBorder="1" applyAlignment="1" applyProtection="1">
      <alignment horizontal="center"/>
    </xf>
    <xf numFmtId="167" fontId="5" fillId="0" borderId="1" xfId="0" applyNumberFormat="1" applyFont="1" applyBorder="1" applyAlignment="1" applyProtection="1">
      <alignment horizontal="center"/>
    </xf>
    <xf numFmtId="44" fontId="0" fillId="4" borderId="0" xfId="0" applyNumberFormat="1" applyFill="1" applyProtection="1"/>
    <xf numFmtId="44" fontId="5" fillId="6" borderId="0" xfId="0" applyNumberFormat="1" applyFont="1" applyFill="1" applyProtection="1"/>
    <xf numFmtId="44" fontId="5" fillId="6" borderId="0" xfId="0" applyNumberFormat="1" applyFont="1" applyFill="1" applyBorder="1" applyProtection="1"/>
    <xf numFmtId="44" fontId="5" fillId="6" borderId="0" xfId="1" applyNumberFormat="1" applyFont="1" applyFill="1" applyProtection="1"/>
    <xf numFmtId="44" fontId="4" fillId="6" borderId="0" xfId="0" applyNumberFormat="1" applyFont="1" applyFill="1" applyProtection="1"/>
    <xf numFmtId="0" fontId="0" fillId="6" borderId="0" xfId="0" applyFill="1" applyProtection="1"/>
    <xf numFmtId="0" fontId="4" fillId="6" borderId="0" xfId="0" applyFont="1" applyFill="1" applyAlignment="1" applyProtection="1">
      <alignment horizontal="left"/>
    </xf>
    <xf numFmtId="0" fontId="4" fillId="6" borderId="0" xfId="0" applyFont="1" applyFill="1" applyAlignment="1" applyProtection="1"/>
    <xf numFmtId="44" fontId="5" fillId="6" borderId="1" xfId="1" applyFont="1" applyFill="1" applyBorder="1" applyProtection="1"/>
    <xf numFmtId="44" fontId="5" fillId="6" borderId="7" xfId="0" applyNumberFormat="1" applyFont="1" applyFill="1" applyBorder="1" applyProtection="1"/>
    <xf numFmtId="44" fontId="4" fillId="6" borderId="1" xfId="1" applyFont="1" applyFill="1" applyBorder="1"/>
    <xf numFmtId="0" fontId="4" fillId="6" borderId="0" xfId="0" applyFont="1" applyFill="1" applyProtection="1"/>
    <xf numFmtId="44" fontId="5" fillId="6" borderId="0" xfId="1" applyFont="1" applyFill="1" applyProtection="1"/>
    <xf numFmtId="44" fontId="4" fillId="6" borderId="1" xfId="1" applyFont="1" applyFill="1" applyBorder="1" applyProtection="1">
      <protection locked="0"/>
    </xf>
    <xf numFmtId="44" fontId="4" fillId="6" borderId="1" xfId="1" applyFont="1" applyFill="1" applyBorder="1" applyProtection="1"/>
    <xf numFmtId="44" fontId="5" fillId="4" borderId="1" xfId="1" applyFont="1" applyFill="1" applyBorder="1" applyProtection="1"/>
    <xf numFmtId="44" fontId="5" fillId="4" borderId="9" xfId="1" applyFont="1" applyFill="1" applyBorder="1" applyProtection="1"/>
    <xf numFmtId="44" fontId="5" fillId="4" borderId="6" xfId="1" applyFont="1" applyFill="1" applyBorder="1" applyProtection="1"/>
    <xf numFmtId="44" fontId="5" fillId="4" borderId="7" xfId="0" applyNumberFormat="1" applyFont="1" applyFill="1" applyBorder="1" applyProtection="1"/>
    <xf numFmtId="44" fontId="5" fillId="4" borderId="1" xfId="0" applyNumberFormat="1" applyFont="1" applyFill="1" applyBorder="1" applyProtection="1"/>
    <xf numFmtId="44" fontId="0" fillId="4" borderId="1" xfId="0" applyNumberFormat="1" applyFill="1" applyBorder="1" applyProtection="1"/>
    <xf numFmtId="44" fontId="4" fillId="4" borderId="1" xfId="1" applyFont="1" applyFill="1" applyBorder="1" applyProtection="1"/>
    <xf numFmtId="44" fontId="4" fillId="5" borderId="1" xfId="1" applyFont="1" applyFill="1" applyBorder="1" applyProtection="1"/>
    <xf numFmtId="44" fontId="6" fillId="4" borderId="1" xfId="0" applyNumberFormat="1" applyFont="1" applyFill="1" applyBorder="1" applyProtection="1"/>
    <xf numFmtId="0" fontId="0" fillId="4" borderId="1" xfId="0" applyNumberFormat="1" applyFill="1" applyBorder="1" applyProtection="1"/>
    <xf numFmtId="0" fontId="0" fillId="4" borderId="1" xfId="0" applyFill="1" applyBorder="1" applyProtection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44" fontId="5" fillId="0" borderId="0" xfId="0" applyNumberFormat="1" applyFont="1" applyProtection="1">
      <protection locked="0"/>
    </xf>
    <xf numFmtId="169" fontId="5" fillId="0" borderId="0" xfId="0" applyNumberFormat="1" applyFont="1" applyAlignment="1" applyProtection="1">
      <alignment horizontal="left"/>
      <protection locked="0"/>
    </xf>
    <xf numFmtId="44" fontId="5" fillId="0" borderId="8" xfId="0" applyNumberFormat="1" applyFont="1" applyBorder="1" applyProtection="1">
      <protection locked="0"/>
    </xf>
    <xf numFmtId="44" fontId="5" fillId="7" borderId="1" xfId="1" applyFont="1" applyFill="1" applyBorder="1" applyProtection="1"/>
    <xf numFmtId="44" fontId="5" fillId="8" borderId="1" xfId="1" applyFont="1" applyFill="1" applyBorder="1" applyProtection="1"/>
    <xf numFmtId="166" fontId="4" fillId="6" borderId="0" xfId="0" applyNumberFormat="1" applyFont="1" applyFill="1" applyAlignment="1" applyProtection="1">
      <alignment horizontal="left"/>
    </xf>
    <xf numFmtId="44" fontId="3" fillId="0" borderId="0" xfId="0" applyNumberFormat="1" applyFont="1"/>
    <xf numFmtId="0" fontId="3" fillId="0" borderId="0" xfId="0" applyFont="1"/>
    <xf numFmtId="0" fontId="0" fillId="9" borderId="0" xfId="0" applyFill="1" applyProtection="1">
      <protection locked="0"/>
    </xf>
    <xf numFmtId="0" fontId="0" fillId="4" borderId="0" xfId="0" applyNumberFormat="1" applyFill="1" applyAlignment="1">
      <alignment horizontal="left"/>
    </xf>
    <xf numFmtId="0" fontId="4" fillId="0" borderId="0" xfId="0" applyNumberFormat="1" applyFont="1" applyAlignment="1" applyProtection="1">
      <alignment horizontal="left"/>
    </xf>
    <xf numFmtId="0" fontId="5" fillId="0" borderId="0" xfId="0" applyFont="1" applyFill="1" applyProtection="1"/>
    <xf numFmtId="44" fontId="5" fillId="4" borderId="0" xfId="0" applyNumberFormat="1" applyFont="1" applyFill="1" applyProtection="1"/>
    <xf numFmtId="0" fontId="0" fillId="4" borderId="0" xfId="0" applyFill="1"/>
    <xf numFmtId="0" fontId="5" fillId="2" borderId="0" xfId="0" applyFont="1" applyFill="1" applyProtection="1">
      <protection locked="0"/>
    </xf>
    <xf numFmtId="167" fontId="0" fillId="4" borderId="0" xfId="0" applyNumberFormat="1" applyFill="1" applyAlignment="1" applyProtection="1">
      <alignment horizontal="left"/>
    </xf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4" borderId="0" xfId="0" applyFont="1" applyFill="1" applyProtection="1"/>
    <xf numFmtId="44" fontId="3" fillId="4" borderId="0" xfId="0" applyNumberFormat="1" applyFont="1" applyFill="1" applyAlignment="1" applyProtection="1">
      <alignment shrinkToFit="1"/>
    </xf>
    <xf numFmtId="44" fontId="3" fillId="4" borderId="0" xfId="0" applyNumberFormat="1" applyFont="1" applyFill="1" applyProtection="1"/>
    <xf numFmtId="167" fontId="5" fillId="4" borderId="0" xfId="0" applyNumberFormat="1" applyFont="1" applyFill="1" applyAlignment="1" applyProtection="1"/>
    <xf numFmtId="44" fontId="3" fillId="4" borderId="0" xfId="1" applyNumberFormat="1" applyFont="1" applyFill="1" applyProtection="1"/>
    <xf numFmtId="44" fontId="3" fillId="4" borderId="0" xfId="0" applyNumberFormat="1" applyFont="1" applyFill="1"/>
    <xf numFmtId="0" fontId="5" fillId="0" borderId="0" xfId="0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right"/>
      <protection locked="0"/>
    </xf>
    <xf numFmtId="168" fontId="5" fillId="0" borderId="0" xfId="0" applyNumberFormat="1" applyFont="1" applyAlignment="1" applyProtection="1">
      <alignment horizontal="left"/>
      <protection locked="0"/>
    </xf>
    <xf numFmtId="14" fontId="0" fillId="4" borderId="0" xfId="0" applyNumberFormat="1" applyFill="1" applyAlignment="1" applyProtection="1">
      <alignment horizontal="right"/>
    </xf>
    <xf numFmtId="0" fontId="0" fillId="0" borderId="0" xfId="0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168" fontId="0" fillId="6" borderId="0" xfId="0" applyNumberFormat="1" applyFill="1" applyAlignment="1" applyProtection="1">
      <alignment horizontal="right"/>
    </xf>
    <xf numFmtId="14" fontId="0" fillId="4" borderId="0" xfId="0" applyNumberFormat="1" applyFill="1" applyAlignment="1">
      <alignment horizontal="center"/>
    </xf>
    <xf numFmtId="14" fontId="0" fillId="7" borderId="0" xfId="0" applyNumberFormat="1" applyFill="1" applyAlignment="1" applyProtection="1">
      <alignment horizontal="center"/>
    </xf>
    <xf numFmtId="44" fontId="0" fillId="4" borderId="0" xfId="0" applyNumberFormat="1" applyFill="1" applyAlignment="1" applyProtection="1">
      <alignment horizontal="left"/>
    </xf>
    <xf numFmtId="43" fontId="5" fillId="4" borderId="0" xfId="0" applyNumberFormat="1" applyFont="1" applyFill="1" applyAlignment="1" applyProtection="1"/>
    <xf numFmtId="14" fontId="7" fillId="4" borderId="0" xfId="0" applyNumberFormat="1" applyFon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6" borderId="0" xfId="0" applyNumberForma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167" fontId="5" fillId="4" borderId="0" xfId="0" applyNumberFormat="1" applyFont="1" applyFill="1" applyBorder="1" applyAlignment="1" applyProtection="1">
      <alignment horizontal="left"/>
    </xf>
    <xf numFmtId="167" fontId="5" fillId="4" borderId="0" xfId="0" applyNumberFormat="1" applyFont="1" applyFill="1" applyAlignment="1" applyProtection="1">
      <alignment horizontal="left"/>
    </xf>
    <xf numFmtId="14" fontId="5" fillId="2" borderId="0" xfId="0" applyNumberFormat="1" applyFont="1" applyFill="1" applyAlignment="1" applyProtection="1">
      <alignment horizontal="left"/>
      <protection locked="0"/>
    </xf>
    <xf numFmtId="0" fontId="5" fillId="6" borderId="0" xfId="0" applyFont="1" applyFill="1" applyProtection="1"/>
    <xf numFmtId="0" fontId="5" fillId="2" borderId="0" xfId="0" applyFont="1" applyFill="1" applyAlignment="1" applyProtection="1">
      <alignment horizontal="left"/>
    </xf>
    <xf numFmtId="14" fontId="5" fillId="2" borderId="0" xfId="0" applyNumberFormat="1" applyFont="1" applyFill="1" applyAlignment="1" applyProtection="1">
      <alignment horizontal="left"/>
    </xf>
    <xf numFmtId="0" fontId="5" fillId="7" borderId="0" xfId="0" applyFont="1" applyFill="1" applyAlignment="1" applyProtection="1">
      <alignment horizontal="left"/>
    </xf>
    <xf numFmtId="14" fontId="5" fillId="7" borderId="0" xfId="0" applyNumberFormat="1" applyFont="1" applyFill="1" applyAlignment="1" applyProtection="1">
      <alignment horizontal="left"/>
    </xf>
    <xf numFmtId="0" fontId="0" fillId="0" borderId="10" xfId="0" applyBorder="1"/>
    <xf numFmtId="0" fontId="0" fillId="0" borderId="3" xfId="0" applyBorder="1" applyProtection="1"/>
    <xf numFmtId="0" fontId="0" fillId="0" borderId="4" xfId="0" applyBorder="1" applyProtection="1"/>
    <xf numFmtId="14" fontId="0" fillId="0" borderId="5" xfId="0" applyNumberFormat="1" applyBorder="1" applyAlignment="1" applyProtection="1">
      <protection locked="0"/>
    </xf>
    <xf numFmtId="14" fontId="10" fillId="0" borderId="5" xfId="0" applyNumberFormat="1" applyFont="1" applyBorder="1" applyAlignment="1" applyProtection="1">
      <alignment horizontal="right"/>
      <protection locked="0"/>
    </xf>
    <xf numFmtId="14" fontId="3" fillId="4" borderId="5" xfId="0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/>
    <xf numFmtId="0" fontId="0" fillId="0" borderId="0" xfId="0" applyAlignment="1"/>
    <xf numFmtId="169" fontId="5" fillId="0" borderId="0" xfId="0" applyNumberFormat="1" applyFont="1" applyAlignment="1" applyProtection="1">
      <alignment horizontal="left"/>
      <protection locked="0"/>
    </xf>
    <xf numFmtId="0" fontId="5" fillId="0" borderId="5" xfId="0" applyFont="1" applyFill="1" applyBorder="1" applyAlignment="1"/>
    <xf numFmtId="0" fontId="0" fillId="0" borderId="5" xfId="0" applyBorder="1" applyAlignment="1"/>
    <xf numFmtId="0" fontId="5" fillId="0" borderId="5" xfId="0" applyFont="1" applyBorder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70" fontId="5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5" fillId="0" borderId="5" xfId="0" applyNumberFormat="1" applyFont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170" fontId="0" fillId="4" borderId="0" xfId="0" applyNumberFormat="1" applyFill="1" applyAlignment="1" applyProtection="1">
      <alignment horizontal="left"/>
    </xf>
    <xf numFmtId="0" fontId="6" fillId="0" borderId="5" xfId="0" applyFont="1" applyFill="1" applyBorder="1" applyAlignment="1"/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14" fontId="5" fillId="6" borderId="0" xfId="0" applyNumberFormat="1" applyFont="1" applyFill="1" applyAlignment="1" applyProtection="1">
      <alignment horizontal="left"/>
    </xf>
    <xf numFmtId="14" fontId="0" fillId="6" borderId="11" xfId="0" applyNumberFormat="1" applyFill="1" applyBorder="1" applyAlignment="1" applyProtection="1">
      <alignment horizontal="left"/>
    </xf>
    <xf numFmtId="170" fontId="5" fillId="0" borderId="0" xfId="0" applyNumberFormat="1" applyFont="1" applyAlignment="1" applyProtection="1">
      <alignment horizontal="left"/>
    </xf>
    <xf numFmtId="164" fontId="5" fillId="7" borderId="5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/>
    <xf numFmtId="0" fontId="0" fillId="0" borderId="0" xfId="0" applyAlignme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7" fontId="0" fillId="7" borderId="0" xfId="0" applyNumberFormat="1" applyFill="1" applyAlignment="1" applyProtection="1"/>
    <xf numFmtId="167" fontId="0" fillId="7" borderId="0" xfId="0" applyNumberForma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61"/>
  <sheetViews>
    <sheetView topLeftCell="A79" zoomScale="145" zoomScaleNormal="145" workbookViewId="0">
      <selection activeCell="C71" sqref="C71"/>
    </sheetView>
  </sheetViews>
  <sheetFormatPr defaultRowHeight="13.2" x14ac:dyDescent="0.25"/>
  <cols>
    <col min="1" max="1" width="6.6640625" customWidth="1"/>
    <col min="2" max="4" width="11.6640625" customWidth="1"/>
    <col min="5" max="5" width="1.6640625" customWidth="1"/>
    <col min="6" max="6" width="6.6640625" customWidth="1"/>
    <col min="7" max="9" width="11.6640625" customWidth="1"/>
    <col min="11" max="11" width="10.6640625" bestFit="1" customWidth="1"/>
  </cols>
  <sheetData>
    <row r="1" spans="1:13" x14ac:dyDescent="0.25">
      <c r="A1" s="229" t="s">
        <v>37</v>
      </c>
      <c r="B1" s="229"/>
      <c r="C1" s="229"/>
      <c r="D1" s="229"/>
      <c r="E1" s="229"/>
      <c r="F1" s="229"/>
      <c r="G1" s="229"/>
      <c r="H1" s="229"/>
      <c r="I1" s="229"/>
      <c r="K1" s="172">
        <f>SUM($I$104+$I$153+$I$202+$I$251+$I$300+$I$349)</f>
        <v>0</v>
      </c>
      <c r="M1" t="s">
        <v>26</v>
      </c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M2" t="s">
        <v>26</v>
      </c>
    </row>
    <row r="3" spans="1:13" x14ac:dyDescent="0.25">
      <c r="A3" s="2"/>
      <c r="B3" s="6" t="s">
        <v>0</v>
      </c>
      <c r="C3" s="163" t="s">
        <v>26</v>
      </c>
      <c r="D3" s="2"/>
      <c r="E3" s="2"/>
      <c r="F3" s="6" t="s">
        <v>53</v>
      </c>
      <c r="G3" s="163" t="s">
        <v>26</v>
      </c>
      <c r="H3" s="2"/>
      <c r="I3" s="2"/>
      <c r="M3" t="s">
        <v>26</v>
      </c>
    </row>
    <row r="4" spans="1:13" x14ac:dyDescent="0.25">
      <c r="A4" s="2"/>
      <c r="B4" s="6" t="s">
        <v>1</v>
      </c>
      <c r="C4" s="163" t="s">
        <v>26</v>
      </c>
      <c r="D4" s="2"/>
      <c r="E4" s="2"/>
      <c r="F4" s="6" t="s">
        <v>26</v>
      </c>
      <c r="G4" s="2" t="s">
        <v>26</v>
      </c>
      <c r="H4" s="2"/>
      <c r="I4" s="2"/>
      <c r="M4" t="s">
        <v>26</v>
      </c>
    </row>
    <row r="5" spans="1:13" x14ac:dyDescent="0.25">
      <c r="A5" s="2"/>
      <c r="B5" s="6"/>
      <c r="C5" s="2"/>
      <c r="D5" s="2"/>
      <c r="E5" s="2"/>
      <c r="F5" s="6"/>
      <c r="G5" s="2"/>
      <c r="H5" s="2"/>
      <c r="I5" s="2"/>
      <c r="M5" t="s">
        <v>26</v>
      </c>
    </row>
    <row r="6" spans="1:13" x14ac:dyDescent="0.25">
      <c r="A6" s="46" t="s">
        <v>48</v>
      </c>
      <c r="B6" s="46" t="s">
        <v>26</v>
      </c>
      <c r="C6" s="174" t="s">
        <v>26</v>
      </c>
      <c r="D6" s="18"/>
      <c r="E6" s="2"/>
      <c r="F6" s="6"/>
      <c r="G6" s="2"/>
      <c r="H6" s="2"/>
      <c r="I6" s="2"/>
      <c r="M6" t="s">
        <v>26</v>
      </c>
    </row>
    <row r="7" spans="1:13" x14ac:dyDescent="0.25">
      <c r="A7" s="2" t="s">
        <v>49</v>
      </c>
      <c r="B7" s="58"/>
      <c r="C7" s="163"/>
      <c r="E7" s="2"/>
      <c r="F7" s="2"/>
      <c r="G7" s="2"/>
      <c r="H7" s="2"/>
      <c r="I7" s="2"/>
      <c r="M7" t="s">
        <v>26</v>
      </c>
    </row>
    <row r="8" spans="1:13" x14ac:dyDescent="0.25">
      <c r="A8" s="2" t="s">
        <v>38</v>
      </c>
      <c r="B8" s="49"/>
      <c r="C8" s="164" t="s">
        <v>26</v>
      </c>
      <c r="F8" s="2"/>
      <c r="G8" s="2"/>
      <c r="H8" s="2"/>
      <c r="I8" s="2"/>
      <c r="M8" t="s">
        <v>26</v>
      </c>
    </row>
    <row r="9" spans="1:13" ht="13.8" thickBot="1" x14ac:dyDescent="0.3">
      <c r="A9" s="2" t="s">
        <v>65</v>
      </c>
      <c r="B9" s="49"/>
      <c r="C9" s="163" t="s">
        <v>26</v>
      </c>
      <c r="D9" s="46"/>
      <c r="E9" s="46"/>
      <c r="F9" s="2"/>
      <c r="G9" s="2"/>
      <c r="H9" s="2"/>
      <c r="I9" s="2"/>
      <c r="M9" t="s">
        <v>26</v>
      </c>
    </row>
    <row r="10" spans="1:13" x14ac:dyDescent="0.25">
      <c r="A10" s="50"/>
      <c r="B10" s="51"/>
      <c r="C10" s="52"/>
      <c r="D10" s="53"/>
      <c r="E10" s="53"/>
      <c r="F10" s="50"/>
      <c r="G10" s="50"/>
      <c r="H10" s="50"/>
      <c r="I10" s="50"/>
      <c r="M10" t="s">
        <v>26</v>
      </c>
    </row>
    <row r="11" spans="1:13" x14ac:dyDescent="0.25">
      <c r="A11" s="221" t="s">
        <v>44</v>
      </c>
      <c r="B11" s="221"/>
      <c r="C11" s="221"/>
      <c r="D11" s="221"/>
      <c r="E11" s="221"/>
      <c r="F11" s="221"/>
      <c r="G11" s="221"/>
      <c r="H11" s="221"/>
      <c r="I11" s="221"/>
      <c r="M11" t="s">
        <v>26</v>
      </c>
    </row>
    <row r="12" spans="1:13" x14ac:dyDescent="0.25">
      <c r="A12" s="6"/>
      <c r="B12" s="2"/>
      <c r="C12" s="6"/>
      <c r="D12" s="2"/>
      <c r="E12" s="2"/>
      <c r="F12" s="2"/>
      <c r="G12" s="2"/>
      <c r="H12" s="2"/>
      <c r="I12" s="2"/>
      <c r="M12" t="s">
        <v>26</v>
      </c>
    </row>
    <row r="13" spans="1:13" x14ac:dyDescent="0.25">
      <c r="A13" s="46" t="s">
        <v>39</v>
      </c>
      <c r="B13" s="2"/>
      <c r="C13" s="2"/>
      <c r="D13" s="231"/>
      <c r="E13" s="232"/>
      <c r="F13" s="232"/>
      <c r="H13" s="2"/>
      <c r="I13" s="2"/>
      <c r="M13" t="s">
        <v>26</v>
      </c>
    </row>
    <row r="14" spans="1:13" x14ac:dyDescent="0.25">
      <c r="A14" s="46"/>
      <c r="B14" s="2"/>
      <c r="C14" s="2"/>
      <c r="D14" s="18"/>
      <c r="E14" s="2"/>
      <c r="F14" s="2"/>
      <c r="G14" s="2"/>
      <c r="H14" s="2"/>
      <c r="I14" s="2"/>
      <c r="M14" t="s">
        <v>26</v>
      </c>
    </row>
    <row r="15" spans="1:13" x14ac:dyDescent="0.25">
      <c r="A15" s="46" t="s">
        <v>40</v>
      </c>
      <c r="B15" s="2"/>
      <c r="C15" s="2"/>
      <c r="D15" s="192" t="s">
        <v>26</v>
      </c>
      <c r="E15" s="230" t="s">
        <v>119</v>
      </c>
      <c r="F15" s="230"/>
      <c r="G15" s="191" t="s">
        <v>26</v>
      </c>
      <c r="H15" s="191" t="s">
        <v>120</v>
      </c>
      <c r="I15" s="193" t="s">
        <v>26</v>
      </c>
      <c r="M15" t="s">
        <v>26</v>
      </c>
    </row>
    <row r="16" spans="1:13" x14ac:dyDescent="0.25">
      <c r="A16" s="46" t="s">
        <v>41</v>
      </c>
      <c r="B16" s="2"/>
      <c r="C16" s="2"/>
      <c r="D16" s="192"/>
      <c r="E16" s="230" t="s">
        <v>119</v>
      </c>
      <c r="F16" s="230"/>
      <c r="G16" s="191" t="s">
        <v>26</v>
      </c>
      <c r="H16" s="191" t="s">
        <v>120</v>
      </c>
      <c r="I16" s="193" t="s">
        <v>26</v>
      </c>
      <c r="M16" t="s">
        <v>26</v>
      </c>
    </row>
    <row r="17" spans="1:13" x14ac:dyDescent="0.25">
      <c r="A17" s="46" t="s">
        <v>42</v>
      </c>
      <c r="B17" s="2"/>
      <c r="C17" s="2"/>
      <c r="D17" s="192"/>
      <c r="E17" s="230" t="s">
        <v>119</v>
      </c>
      <c r="F17" s="230"/>
      <c r="G17" s="191" t="s">
        <v>26</v>
      </c>
      <c r="H17" s="191" t="s">
        <v>120</v>
      </c>
      <c r="I17" s="193" t="s">
        <v>26</v>
      </c>
      <c r="M17" t="s">
        <v>26</v>
      </c>
    </row>
    <row r="18" spans="1:13" x14ac:dyDescent="0.25">
      <c r="A18" s="46" t="s">
        <v>50</v>
      </c>
      <c r="B18" s="2"/>
      <c r="C18" s="2"/>
      <c r="D18" s="192"/>
      <c r="E18" s="230" t="s">
        <v>119</v>
      </c>
      <c r="F18" s="230"/>
      <c r="G18" s="191"/>
      <c r="H18" s="191" t="s">
        <v>120</v>
      </c>
      <c r="I18" s="193" t="s">
        <v>26</v>
      </c>
      <c r="M18" t="s">
        <v>26</v>
      </c>
    </row>
    <row r="19" spans="1:13" x14ac:dyDescent="0.25">
      <c r="A19" s="2"/>
      <c r="B19" s="2"/>
      <c r="C19" s="2"/>
      <c r="D19" s="18"/>
      <c r="E19" s="2"/>
      <c r="F19" s="2"/>
      <c r="G19" s="2"/>
      <c r="H19" s="2"/>
      <c r="I19" s="2"/>
      <c r="M19" t="s">
        <v>26</v>
      </c>
    </row>
    <row r="20" spans="1:13" x14ac:dyDescent="0.25">
      <c r="A20" s="46" t="s">
        <v>66</v>
      </c>
      <c r="B20" s="2"/>
      <c r="C20" s="2"/>
      <c r="D20" s="20"/>
      <c r="E20" s="18"/>
      <c r="F20" s="18"/>
      <c r="G20" s="18"/>
      <c r="H20" s="18"/>
      <c r="I20" s="18"/>
    </row>
    <row r="21" spans="1:13" x14ac:dyDescent="0.25">
      <c r="A21" s="46" t="s">
        <v>26</v>
      </c>
      <c r="B21" s="2"/>
      <c r="C21" s="2"/>
      <c r="D21" s="20"/>
      <c r="E21" s="18"/>
      <c r="F21" s="18"/>
      <c r="G21" s="18"/>
      <c r="H21" s="18"/>
      <c r="I21" s="18"/>
    </row>
    <row r="22" spans="1:13" x14ac:dyDescent="0.25">
      <c r="A22" s="46" t="s">
        <v>26</v>
      </c>
      <c r="B22" s="2"/>
      <c r="C22" s="2"/>
      <c r="D22" s="20"/>
      <c r="E22" s="18"/>
      <c r="F22" s="18"/>
      <c r="G22" s="18"/>
      <c r="H22" s="18"/>
      <c r="I22" s="18"/>
    </row>
    <row r="23" spans="1:13" x14ac:dyDescent="0.25">
      <c r="A23" s="46" t="s">
        <v>26</v>
      </c>
      <c r="B23" s="2"/>
      <c r="C23" s="2"/>
      <c r="D23" s="165"/>
      <c r="E23" s="18"/>
      <c r="F23" s="18"/>
      <c r="G23" s="18"/>
      <c r="H23" s="18"/>
      <c r="I23" s="18"/>
    </row>
    <row r="24" spans="1:13" x14ac:dyDescent="0.25">
      <c r="A24" s="2"/>
      <c r="B24" s="2"/>
      <c r="C24" s="2" t="s">
        <v>26</v>
      </c>
      <c r="D24" s="20" t="s">
        <v>26</v>
      </c>
      <c r="E24" s="18"/>
      <c r="F24" s="18"/>
      <c r="G24" s="18"/>
      <c r="H24" s="18"/>
      <c r="I24" s="18"/>
    </row>
    <row r="25" spans="1:13" x14ac:dyDescent="0.25">
      <c r="A25" s="54" t="s">
        <v>26</v>
      </c>
      <c r="B25" s="49"/>
      <c r="C25" s="87" t="s">
        <v>67</v>
      </c>
      <c r="D25" s="61"/>
      <c r="E25" s="76" t="s">
        <v>26</v>
      </c>
      <c r="F25" s="39"/>
      <c r="G25" s="39" t="s">
        <v>68</v>
      </c>
      <c r="H25" s="2"/>
      <c r="I25" s="2"/>
    </row>
    <row r="26" spans="1:13" x14ac:dyDescent="0.25">
      <c r="A26" s="54" t="s">
        <v>54</v>
      </c>
      <c r="B26" s="2"/>
      <c r="C26" s="166">
        <v>0</v>
      </c>
      <c r="D26" s="80" t="s">
        <v>63</v>
      </c>
      <c r="E26" s="224" t="s">
        <v>26</v>
      </c>
      <c r="F26" s="224"/>
      <c r="G26" s="168">
        <v>0</v>
      </c>
      <c r="H26" s="78" t="s">
        <v>64</v>
      </c>
      <c r="I26" s="167" t="s">
        <v>26</v>
      </c>
    </row>
    <row r="27" spans="1:13" x14ac:dyDescent="0.25">
      <c r="A27" s="54" t="s">
        <v>55</v>
      </c>
      <c r="B27" s="2"/>
      <c r="C27" s="166">
        <v>0</v>
      </c>
      <c r="D27" s="80" t="s">
        <v>63</v>
      </c>
      <c r="E27" s="224" t="s">
        <v>26</v>
      </c>
      <c r="F27" s="224"/>
      <c r="G27" s="168">
        <v>0</v>
      </c>
      <c r="H27" s="78" t="s">
        <v>64</v>
      </c>
      <c r="I27" s="167" t="s">
        <v>26</v>
      </c>
    </row>
    <row r="28" spans="1:13" x14ac:dyDescent="0.25">
      <c r="A28" s="54" t="s">
        <v>51</v>
      </c>
      <c r="B28" s="6"/>
      <c r="C28" s="166">
        <v>0</v>
      </c>
      <c r="D28" s="80" t="s">
        <v>63</v>
      </c>
      <c r="E28" s="224" t="s">
        <v>26</v>
      </c>
      <c r="F28" s="224"/>
      <c r="G28" s="168">
        <v>0</v>
      </c>
      <c r="H28" s="78" t="s">
        <v>64</v>
      </c>
      <c r="I28" s="167" t="s">
        <v>36</v>
      </c>
    </row>
    <row r="29" spans="1:13" x14ac:dyDescent="0.25">
      <c r="A29" s="54" t="s">
        <v>56</v>
      </c>
      <c r="B29" s="6"/>
      <c r="C29" s="166">
        <v>0</v>
      </c>
      <c r="D29" s="80" t="s">
        <v>63</v>
      </c>
      <c r="E29" s="224" t="s">
        <v>26</v>
      </c>
      <c r="F29" s="224"/>
      <c r="G29" s="168">
        <v>0</v>
      </c>
      <c r="H29" s="78" t="s">
        <v>64</v>
      </c>
      <c r="I29" s="167" t="s">
        <v>26</v>
      </c>
    </row>
    <row r="30" spans="1:13" x14ac:dyDescent="0.25">
      <c r="A30" s="54" t="s">
        <v>52</v>
      </c>
      <c r="B30" s="2"/>
      <c r="C30" s="166">
        <v>0</v>
      </c>
      <c r="D30" s="80" t="s">
        <v>63</v>
      </c>
      <c r="E30" s="224" t="s">
        <v>26</v>
      </c>
      <c r="F30" s="224"/>
      <c r="G30" s="168">
        <v>0</v>
      </c>
      <c r="H30" s="78" t="s">
        <v>64</v>
      </c>
      <c r="I30" s="167" t="s">
        <v>26</v>
      </c>
    </row>
    <row r="31" spans="1:13" x14ac:dyDescent="0.25">
      <c r="A31" s="55" t="s">
        <v>57</v>
      </c>
      <c r="B31" s="2"/>
      <c r="C31" s="166">
        <v>0</v>
      </c>
      <c r="D31" s="80" t="s">
        <v>63</v>
      </c>
      <c r="E31" s="224" t="s">
        <v>26</v>
      </c>
      <c r="F31" s="224"/>
      <c r="G31" s="168">
        <v>0</v>
      </c>
      <c r="H31" s="78" t="s">
        <v>64</v>
      </c>
      <c r="I31" s="167" t="s">
        <v>26</v>
      </c>
    </row>
    <row r="32" spans="1:13" x14ac:dyDescent="0.25">
      <c r="A32" s="55" t="s">
        <v>58</v>
      </c>
      <c r="B32" s="2"/>
      <c r="C32" s="166">
        <v>0</v>
      </c>
      <c r="D32" s="80" t="s">
        <v>63</v>
      </c>
      <c r="E32" s="224" t="s">
        <v>26</v>
      </c>
      <c r="F32" s="224"/>
      <c r="G32" s="168">
        <v>0</v>
      </c>
      <c r="H32" s="78" t="s">
        <v>64</v>
      </c>
      <c r="I32" s="167" t="s">
        <v>26</v>
      </c>
    </row>
    <row r="33" spans="1:9" x14ac:dyDescent="0.25">
      <c r="A33" s="55" t="s">
        <v>59</v>
      </c>
      <c r="B33" s="2"/>
      <c r="C33" s="166">
        <v>0</v>
      </c>
      <c r="D33" s="80" t="s">
        <v>63</v>
      </c>
      <c r="E33" s="224" t="s">
        <v>26</v>
      </c>
      <c r="F33" s="224"/>
      <c r="G33" s="168">
        <v>0</v>
      </c>
      <c r="H33" s="78" t="s">
        <v>64</v>
      </c>
      <c r="I33" s="167" t="s">
        <v>36</v>
      </c>
    </row>
    <row r="34" spans="1:9" x14ac:dyDescent="0.25">
      <c r="A34" s="222" t="s">
        <v>60</v>
      </c>
      <c r="B34" s="223"/>
      <c r="C34" s="166">
        <v>0</v>
      </c>
      <c r="D34" s="80" t="s">
        <v>63</v>
      </c>
      <c r="E34" s="224" t="s">
        <v>26</v>
      </c>
      <c r="F34" s="224"/>
      <c r="G34" s="168">
        <v>0</v>
      </c>
      <c r="H34" s="78" t="s">
        <v>64</v>
      </c>
      <c r="I34" s="167" t="s">
        <v>26</v>
      </c>
    </row>
    <row r="35" spans="1:9" x14ac:dyDescent="0.25">
      <c r="A35" s="222" t="s">
        <v>62</v>
      </c>
      <c r="B35" s="223"/>
      <c r="C35" s="166">
        <v>0</v>
      </c>
      <c r="D35" s="80" t="s">
        <v>63</v>
      </c>
      <c r="E35" s="224" t="s">
        <v>26</v>
      </c>
      <c r="F35" s="224"/>
      <c r="G35" s="92" t="s">
        <v>26</v>
      </c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55" t="s">
        <v>43</v>
      </c>
      <c r="B37" s="2"/>
      <c r="C37" s="2">
        <v>0.01</v>
      </c>
      <c r="D37" s="228" t="s">
        <v>123</v>
      </c>
      <c r="E37" s="228"/>
      <c r="F37" s="228"/>
      <c r="G37" s="223"/>
      <c r="H37" s="223"/>
      <c r="I37" s="2"/>
    </row>
    <row r="38" spans="1:9" ht="13.8" thickBot="1" x14ac:dyDescent="0.3">
      <c r="A38" s="225" t="s">
        <v>43</v>
      </c>
      <c r="B38" s="226"/>
      <c r="C38" s="2">
        <v>5.0000000000000001E-3</v>
      </c>
      <c r="D38" s="227" t="s">
        <v>122</v>
      </c>
      <c r="E38" s="227"/>
      <c r="F38" s="227"/>
      <c r="G38" s="226"/>
      <c r="H38" s="226"/>
      <c r="I38" s="2"/>
    </row>
    <row r="39" spans="1:9" x14ac:dyDescent="0.25">
      <c r="A39" s="50"/>
      <c r="B39" s="50"/>
      <c r="C39" s="50"/>
      <c r="D39" s="50"/>
      <c r="E39" s="50"/>
      <c r="F39" s="50"/>
      <c r="G39" s="50"/>
      <c r="H39" s="50"/>
      <c r="I39" s="50"/>
    </row>
    <row r="40" spans="1:9" x14ac:dyDescent="0.25">
      <c r="A40" s="221" t="s">
        <v>101</v>
      </c>
      <c r="B40" s="221"/>
      <c r="C40" s="221"/>
      <c r="D40" s="221"/>
      <c r="E40" s="221"/>
      <c r="F40" s="221"/>
      <c r="G40" s="221"/>
      <c r="H40" s="221"/>
      <c r="I40" s="221"/>
    </row>
    <row r="41" spans="1:9" x14ac:dyDescent="0.25">
      <c r="A41" s="2"/>
      <c r="B41" s="2"/>
      <c r="C41" s="2"/>
      <c r="D41" s="221" t="str">
        <f>$C$6</f>
        <v xml:space="preserve"> </v>
      </c>
      <c r="E41" s="221"/>
      <c r="F41" s="221"/>
      <c r="G41" s="2"/>
      <c r="H41" s="2"/>
      <c r="I41" s="2"/>
    </row>
    <row r="42" spans="1:9" x14ac:dyDescent="0.25">
      <c r="A42" s="18"/>
      <c r="B42" s="18"/>
      <c r="C42" s="18"/>
      <c r="D42" s="18"/>
      <c r="E42" s="2"/>
      <c r="F42" s="2"/>
      <c r="G42" s="100" t="str">
        <f>IF(Type="Complete","Child Support Arrears:",IF(Type="PA","Child Support Arrears:",IF(Type="NPA","Child Support Arrears:",IF(Type="Conditional","Child Support Arrears:",IF(Type="Temporary","Child Support Arrears:",IF(Type=" ","Child Support Arrears:","  "))))))</f>
        <v>Child Support Arrears:</v>
      </c>
      <c r="H42" s="140">
        <f>IF(Type="NPA",SUM(NPA_Arrears,Arrears_page_totals),IF(Type="Complete",SUM($C$26,$G$26,$C$35,Arrears_page_totals),IF(Type="Conditional",SUM($C$35,Arrears_page_totals),IF(Type="Temporary",SUM($C$35,Arrears_page_totals),IF(Type="PA",SUM($C$26,Arrears_page_totals),0)))))</f>
        <v>0</v>
      </c>
      <c r="I42" s="18"/>
    </row>
    <row r="43" spans="1:9" x14ac:dyDescent="0.25">
      <c r="A43" s="20" t="s">
        <v>20</v>
      </c>
      <c r="B43" s="2"/>
      <c r="C43" s="20" t="s">
        <v>26</v>
      </c>
      <c r="E43" s="2"/>
      <c r="F43" s="2"/>
      <c r="G43" s="100" t="str">
        <f>IF(Type="Complete","Medical Arrears:",IF(Type="PA Medical","Medical Arrears:",IF(Type="NPA Medical","Medical Arrears:",IF(Type=" ","Medical Arrears:"," "))))</f>
        <v>Medical Arrears:</v>
      </c>
      <c r="H43" s="140">
        <f>IF(Type="NPA Medical",SUM($G$27,Arrears_page_totals),IF(Type="Complete",SUM($C$27,$G$27),IF(Type="PA Medical",SUM(C27,Arrears_page_totals),0)))</f>
        <v>0</v>
      </c>
      <c r="I43" s="18"/>
    </row>
    <row r="44" spans="1:9" x14ac:dyDescent="0.25">
      <c r="A44" s="20" t="s">
        <v>21</v>
      </c>
      <c r="B44" s="2"/>
      <c r="C44" s="20" t="s">
        <v>22</v>
      </c>
      <c r="D44" s="2"/>
      <c r="E44" s="2"/>
      <c r="F44" s="2"/>
      <c r="G44" s="100" t="str">
        <f>IF(Type="Complete","Total Spousal Arrears:",IF(Type="PA Spousal","Spousal Arrears:",IF(Type="NPA Spousal","Spousal Arrears:",IF(Type=" ","Spousal Arrears:"," "))))</f>
        <v>Spousal Arrears:</v>
      </c>
      <c r="H44" s="140">
        <f>IF(Type="NPA Spousal",SUM($G$33,Arrears_page_totals),IF(Type="PA Spousal",SUM($C$33,Arrears_page_totals),IF(Type="Complete",SUM($C$33+$G$33),0)))</f>
        <v>0</v>
      </c>
      <c r="I44" s="18"/>
    </row>
    <row r="45" spans="1:9" x14ac:dyDescent="0.25">
      <c r="A45" s="20" t="s">
        <v>32</v>
      </c>
      <c r="B45" s="2"/>
      <c r="C45" s="208">
        <f ca="1">TODAY()</f>
        <v>44560</v>
      </c>
      <c r="D45" s="23" t="s">
        <v>26</v>
      </c>
      <c r="E45" s="2"/>
      <c r="F45" s="2"/>
      <c r="G45" s="100" t="str">
        <f>IF(Type="NPA Other","Surcharge:",IF(Type="NPA","Surcharge:",IF(Type="Complete","Total Surcharge:",IF(Type="NPA Medical","Surcharge:",IF(Type="NPA Spousal","Surcharge:",IF(Type="NPA Cash Medical","Surcharge:",IF(Type="Conditional","Surcharge:",IF(Type="Temporary","Surcharge:"," "))))))))</f>
        <v xml:space="preserve"> </v>
      </c>
      <c r="H45" s="140">
        <f>IF(Type="complete",(Surcharge),IF(Type="NPA",(Surcharge),IF(Type="PA",$C$31,0)))</f>
        <v>0</v>
      </c>
      <c r="I45" s="18"/>
    </row>
    <row r="46" spans="1:9" x14ac:dyDescent="0.25">
      <c r="A46" s="21"/>
      <c r="B46" s="21"/>
      <c r="C46" s="21"/>
      <c r="D46" s="18"/>
      <c r="E46" s="2"/>
      <c r="F46" s="2"/>
      <c r="G46" s="100" t="str">
        <f>IF(Type="Complete","Total Civil Penalty:",IF(Type="PA Civil Penalty","Civil Penalty:",IF(Type="NPA"," ",IF(Type="NPA Civil Penalty","Civil Penalty:",IF(Type=" ","Civil Penalty:"," ")))))</f>
        <v>Civil Penalty:</v>
      </c>
      <c r="H46" s="139">
        <f>IF(Type="complete",SUM($C$29,$G$29),IF(Type="NPA Civil Penalty",SUM($G$29,Arrears_page_totals),IF(Type="PA Civil Penalty",SUM($C$29,Arrears_page_totals),0)))</f>
        <v>0</v>
      </c>
      <c r="I46" s="18"/>
    </row>
    <row r="47" spans="1:9" x14ac:dyDescent="0.25">
      <c r="A47" s="20" t="s">
        <v>126</v>
      </c>
      <c r="B47" s="21"/>
      <c r="C47" s="21"/>
      <c r="D47" s="18"/>
      <c r="E47" s="2"/>
      <c r="F47" s="2"/>
      <c r="G47" s="100" t="str">
        <f>IF(Type="Complete","Total Cash Medical Arrears:", IF(Type="PA Cash Medical","Cash Medical Arrears:", IF(Type="NPA Cash Medical", "Cash Medical Arrears:",IF(Type=" ","Cash Medical Arrears:", " "))))</f>
        <v>Cash Medical Arrears:</v>
      </c>
      <c r="H47" s="140">
        <f>IF(Type="Complete",SUM($C$32,$G$32),IF(Type="PA Cash Medical",SUM($C$32,Arrears_page_totals),IF(Type="NPA Cash Medical",SUM($G$32,Arrears_page_totals),0)))</f>
        <v>0</v>
      </c>
      <c r="I47" s="18"/>
    </row>
    <row r="48" spans="1:9" x14ac:dyDescent="0.25">
      <c r="A48" s="20" t="s">
        <v>127</v>
      </c>
      <c r="B48" s="21"/>
      <c r="C48" s="21"/>
      <c r="D48" s="18"/>
      <c r="E48" s="2"/>
      <c r="F48" s="2"/>
      <c r="G48" s="100" t="str">
        <f>IF(Type=" ","Service Fees:",IF(Type="NPA Service Fees","Service Fees:",IF(Type="Complete","Service Fees:", IF(Type="PA Service Fees","Service Fees:"," "))))</f>
        <v>Service Fees:</v>
      </c>
      <c r="H48" s="140">
        <f>IF(Type="Complete",SUM($C$28,$G$28),IF(Type="PA Service Fees",SUM($C$28,Arrears_page_totals),IF(Type="NPA Service Fees",SUM($G$28,Arrears_page_totals),0)))</f>
        <v>0</v>
      </c>
      <c r="I48" s="18"/>
    </row>
    <row r="49" spans="1:9" x14ac:dyDescent="0.25">
      <c r="A49" s="20" t="s">
        <v>128</v>
      </c>
      <c r="B49" s="21"/>
      <c r="C49" s="21"/>
      <c r="D49" s="18"/>
      <c r="E49" s="2"/>
      <c r="F49" s="2"/>
      <c r="G49" s="100" t="str">
        <f>IF(Type="Complete","Attorney Fees:",IF(Type="PA Attorney Fees","Attorney Fees:",IF(Type="NPA Attorney Fees","Attorney Fees:",IF(Type=" ","Attorney Fees:"," "))))</f>
        <v>Attorney Fees:</v>
      </c>
      <c r="H49" s="140">
        <f>IF(Type="NPA Attorney Fees",SUM($G$30,Arrears_page_totals),IF(Type="Complete",SUM($C$30,$G$30),IF(Type="PA Attorney Fees",SUM($C$30,Arrears_page_totals),0)))</f>
        <v>0</v>
      </c>
      <c r="I49" s="18"/>
    </row>
    <row r="50" spans="1:9" x14ac:dyDescent="0.25">
      <c r="A50" s="20" t="s">
        <v>130</v>
      </c>
      <c r="B50" s="17"/>
      <c r="C50" s="17"/>
      <c r="D50" s="17"/>
      <c r="E50" s="2"/>
      <c r="F50" s="2"/>
      <c r="G50" s="100" t="str">
        <f>IF(Type="Complete","Total Other:",IF(Type="PA Other","Total Other:",IF(Type="NPA Other","Total Other:",IF(Type="Held","Held Money:",IF(Type="Recoupment","Recoupment:",IF(Type=" ","Total Other:"," "))))))</f>
        <v>Total Other:</v>
      </c>
      <c r="H50" s="139">
        <f>IF(Type="complete",SUM($C$34,$G$34),IF(Type="NPA Other",SUM($G$34,Arrears_page_totals),IF(Type="PA other",SUM($C$34,Arrears_page_totals),IF(Type="Held",Arrears_page_totals,IF(Type="Recoupment",Arrears_page_totals,0)))))</f>
        <v>0</v>
      </c>
      <c r="I50" s="18"/>
    </row>
    <row r="51" spans="1:9" x14ac:dyDescent="0.25">
      <c r="A51" s="20"/>
      <c r="B51" s="18"/>
      <c r="C51" s="18"/>
      <c r="D51" s="18"/>
      <c r="E51" s="2"/>
      <c r="F51" s="2"/>
      <c r="G51" s="100" t="s">
        <v>28</v>
      </c>
      <c r="H51" s="141">
        <f>SUM(H42:H50)</f>
        <v>0</v>
      </c>
      <c r="I51" s="18"/>
    </row>
    <row r="52" spans="1:9" x14ac:dyDescent="0.25">
      <c r="A52" s="20"/>
      <c r="B52" s="18"/>
      <c r="C52" s="18"/>
      <c r="D52" s="18"/>
      <c r="E52" s="18"/>
      <c r="F52" s="21" t="s">
        <v>26</v>
      </c>
      <c r="G52" s="23" t="s">
        <v>26</v>
      </c>
      <c r="H52" s="18"/>
      <c r="I52" s="18"/>
    </row>
    <row r="53" spans="1:9" ht="13.8" thickBot="1" x14ac:dyDescent="0.3">
      <c r="A53" s="18"/>
      <c r="B53" s="21" t="s">
        <v>23</v>
      </c>
      <c r="C53" s="24"/>
      <c r="D53" s="25"/>
      <c r="E53" s="18"/>
      <c r="F53" s="2"/>
      <c r="G53" s="21" t="s">
        <v>24</v>
      </c>
      <c r="H53" s="23" t="s">
        <v>26</v>
      </c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ht="13.8" thickBot="1" x14ac:dyDescent="0.3">
      <c r="A55" s="220">
        <f ca="1">TODAY()</f>
        <v>44560</v>
      </c>
      <c r="B55" s="220"/>
      <c r="C55" s="25" t="s">
        <v>26</v>
      </c>
      <c r="D55" s="25"/>
      <c r="E55" s="25"/>
      <c r="F55" s="25"/>
      <c r="G55" s="25"/>
      <c r="H55" s="56"/>
      <c r="I55" s="218" t="s">
        <v>129</v>
      </c>
    </row>
    <row r="56" spans="1:9" x14ac:dyDescent="0.25">
      <c r="A56" s="26" t="s">
        <v>61</v>
      </c>
      <c r="B56" s="57"/>
      <c r="C56" s="57"/>
      <c r="D56" s="57"/>
      <c r="E56" s="57"/>
      <c r="G56" s="51"/>
      <c r="H56" s="51"/>
      <c r="I56" s="196" t="s">
        <v>45</v>
      </c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21" t="s">
        <v>0</v>
      </c>
      <c r="C60" s="148" t="str">
        <f>C3</f>
        <v xml:space="preserve"> </v>
      </c>
      <c r="D60" s="19"/>
      <c r="E60" s="18"/>
      <c r="F60" s="18"/>
      <c r="G60" s="6" t="s">
        <v>53</v>
      </c>
      <c r="H60" s="148" t="str">
        <f>$G$3</f>
        <v xml:space="preserve"> </v>
      </c>
      <c r="I60" s="19"/>
    </row>
    <row r="61" spans="1:9" x14ac:dyDescent="0.25">
      <c r="A61" s="18"/>
      <c r="B61" s="21" t="s">
        <v>1</v>
      </c>
      <c r="C61" s="148" t="str">
        <f>C4</f>
        <v xml:space="preserve"> </v>
      </c>
      <c r="E61" s="18"/>
      <c r="F61" s="18"/>
      <c r="G61" s="21" t="s">
        <v>26</v>
      </c>
      <c r="H61" s="19" t="s">
        <v>26</v>
      </c>
      <c r="I61" s="19"/>
    </row>
    <row r="62" spans="1:9" x14ac:dyDescent="0.25">
      <c r="A62" s="18"/>
      <c r="B62" s="21"/>
      <c r="C62" s="19"/>
      <c r="D62" s="19"/>
      <c r="E62" s="18"/>
      <c r="F62" s="18"/>
      <c r="G62" s="21"/>
      <c r="H62" s="19"/>
      <c r="I62" s="19"/>
    </row>
    <row r="63" spans="1:9" x14ac:dyDescent="0.25">
      <c r="A63" s="18"/>
      <c r="B63" s="21"/>
      <c r="C63" s="19"/>
      <c r="D63" s="19"/>
      <c r="E63" s="18"/>
      <c r="F63" s="18"/>
      <c r="G63" s="21"/>
      <c r="H63" s="19"/>
      <c r="I63" s="19"/>
    </row>
    <row r="65" spans="1:9" ht="13.8" thickBot="1" x14ac:dyDescent="0.3">
      <c r="A65" s="17"/>
      <c r="B65" s="18"/>
      <c r="C65" s="20"/>
      <c r="D65" s="18"/>
      <c r="E65" s="18"/>
      <c r="F65" s="18"/>
      <c r="G65" s="18"/>
      <c r="H65" s="18"/>
      <c r="I65" s="18"/>
    </row>
    <row r="66" spans="1:9" ht="13.8" thickBot="1" x14ac:dyDescent="0.3">
      <c r="A66" s="31" t="s">
        <v>2</v>
      </c>
      <c r="B66" s="31" t="s">
        <v>26</v>
      </c>
      <c r="C66" s="32"/>
      <c r="D66" s="32"/>
      <c r="E66" s="17"/>
      <c r="F66" s="31" t="s">
        <v>2</v>
      </c>
      <c r="G66" s="31" t="s">
        <v>26</v>
      </c>
      <c r="H66" s="32"/>
      <c r="I66" s="32"/>
    </row>
    <row r="67" spans="1:9" ht="13.8" thickBot="1" x14ac:dyDescent="0.3">
      <c r="A67" s="4" t="s">
        <v>3</v>
      </c>
      <c r="B67" s="4" t="s">
        <v>4</v>
      </c>
      <c r="C67" s="4" t="s">
        <v>5</v>
      </c>
      <c r="D67" s="4" t="s">
        <v>6</v>
      </c>
      <c r="E67" s="1"/>
      <c r="F67" s="4" t="s">
        <v>3</v>
      </c>
      <c r="G67" s="4" t="s">
        <v>4</v>
      </c>
      <c r="H67" s="4" t="s">
        <v>5</v>
      </c>
      <c r="I67" s="4" t="s">
        <v>6</v>
      </c>
    </row>
    <row r="68" spans="1:9" ht="13.8" thickBot="1" x14ac:dyDescent="0.3">
      <c r="A68" s="3" t="s">
        <v>7</v>
      </c>
      <c r="B68" s="27"/>
      <c r="C68" s="27"/>
      <c r="D68" s="145">
        <f>SUM(B68-C68)</f>
        <v>0</v>
      </c>
      <c r="F68" s="3" t="s">
        <v>7</v>
      </c>
      <c r="G68" s="27"/>
      <c r="H68" s="27"/>
      <c r="I68" s="145">
        <f>SUM(G68-H68)</f>
        <v>0</v>
      </c>
    </row>
    <row r="69" spans="1:9" ht="13.8" thickBot="1" x14ac:dyDescent="0.3">
      <c r="A69" s="3" t="s">
        <v>8</v>
      </c>
      <c r="B69" s="27"/>
      <c r="C69" s="27"/>
      <c r="D69" s="145">
        <f t="shared" ref="D69:D79" si="0">SUM(B69-C69)</f>
        <v>0</v>
      </c>
      <c r="F69" s="3" t="s">
        <v>8</v>
      </c>
      <c r="G69" s="27"/>
      <c r="H69" s="27"/>
      <c r="I69" s="145">
        <f t="shared" ref="I69:I79" si="1">SUM(G69-H69)</f>
        <v>0</v>
      </c>
    </row>
    <row r="70" spans="1:9" ht="13.8" thickBot="1" x14ac:dyDescent="0.3">
      <c r="A70" s="3" t="s">
        <v>9</v>
      </c>
      <c r="B70" s="27"/>
      <c r="C70" s="27"/>
      <c r="D70" s="145">
        <f t="shared" si="0"/>
        <v>0</v>
      </c>
      <c r="F70" s="3" t="s">
        <v>9</v>
      </c>
      <c r="G70" s="27"/>
      <c r="H70" s="27"/>
      <c r="I70" s="145">
        <f t="shared" si="1"/>
        <v>0</v>
      </c>
    </row>
    <row r="71" spans="1:9" ht="13.8" thickBot="1" x14ac:dyDescent="0.3">
      <c r="A71" s="3" t="s">
        <v>10</v>
      </c>
      <c r="B71" s="27"/>
      <c r="C71" s="27"/>
      <c r="D71" s="145">
        <f t="shared" si="0"/>
        <v>0</v>
      </c>
      <c r="F71" s="3" t="s">
        <v>10</v>
      </c>
      <c r="G71" s="27"/>
      <c r="H71" s="27"/>
      <c r="I71" s="145">
        <f t="shared" si="1"/>
        <v>0</v>
      </c>
    </row>
    <row r="72" spans="1:9" ht="13.8" thickBot="1" x14ac:dyDescent="0.3">
      <c r="A72" s="3" t="s">
        <v>11</v>
      </c>
      <c r="B72" s="27"/>
      <c r="C72" s="27"/>
      <c r="D72" s="145">
        <f t="shared" si="0"/>
        <v>0</v>
      </c>
      <c r="F72" s="3" t="s">
        <v>11</v>
      </c>
      <c r="G72" s="27"/>
      <c r="H72" s="27"/>
      <c r="I72" s="145">
        <f t="shared" si="1"/>
        <v>0</v>
      </c>
    </row>
    <row r="73" spans="1:9" ht="13.8" thickBot="1" x14ac:dyDescent="0.3">
      <c r="A73" s="3" t="s">
        <v>12</v>
      </c>
      <c r="B73" s="27"/>
      <c r="C73" s="27"/>
      <c r="D73" s="145">
        <f t="shared" si="0"/>
        <v>0</v>
      </c>
      <c r="F73" s="3" t="s">
        <v>12</v>
      </c>
      <c r="G73" s="27"/>
      <c r="H73" s="27"/>
      <c r="I73" s="145">
        <f t="shared" si="1"/>
        <v>0</v>
      </c>
    </row>
    <row r="74" spans="1:9" ht="13.8" thickBot="1" x14ac:dyDescent="0.3">
      <c r="A74" s="3" t="s">
        <v>13</v>
      </c>
      <c r="B74" s="27"/>
      <c r="C74" s="27"/>
      <c r="D74" s="145">
        <f t="shared" si="0"/>
        <v>0</v>
      </c>
      <c r="F74" s="3" t="s">
        <v>13</v>
      </c>
      <c r="G74" s="27"/>
      <c r="H74" s="27"/>
      <c r="I74" s="145">
        <f t="shared" si="1"/>
        <v>0</v>
      </c>
    </row>
    <row r="75" spans="1:9" ht="13.8" thickBot="1" x14ac:dyDescent="0.3">
      <c r="A75" s="3" t="s">
        <v>14</v>
      </c>
      <c r="B75" s="27"/>
      <c r="C75" s="27"/>
      <c r="D75" s="145">
        <f t="shared" si="0"/>
        <v>0</v>
      </c>
      <c r="F75" s="3" t="s">
        <v>14</v>
      </c>
      <c r="G75" s="27"/>
      <c r="H75" s="27"/>
      <c r="I75" s="145">
        <f t="shared" si="1"/>
        <v>0</v>
      </c>
    </row>
    <row r="76" spans="1:9" ht="13.8" thickBot="1" x14ac:dyDescent="0.3">
      <c r="A76" s="3" t="s">
        <v>15</v>
      </c>
      <c r="B76" s="27"/>
      <c r="C76" s="27"/>
      <c r="D76" s="145">
        <f t="shared" si="0"/>
        <v>0</v>
      </c>
      <c r="F76" s="3" t="s">
        <v>15</v>
      </c>
      <c r="G76" s="27"/>
      <c r="H76" s="27"/>
      <c r="I76" s="145">
        <f t="shared" si="1"/>
        <v>0</v>
      </c>
    </row>
    <row r="77" spans="1:9" ht="13.8" thickBot="1" x14ac:dyDescent="0.3">
      <c r="A77" s="3" t="s">
        <v>16</v>
      </c>
      <c r="B77" s="27"/>
      <c r="C77" s="27"/>
      <c r="D77" s="145">
        <f t="shared" si="0"/>
        <v>0</v>
      </c>
      <c r="F77" s="3" t="s">
        <v>16</v>
      </c>
      <c r="G77" s="27"/>
      <c r="H77" s="27"/>
      <c r="I77" s="145">
        <f t="shared" si="1"/>
        <v>0</v>
      </c>
    </row>
    <row r="78" spans="1:9" ht="13.8" thickBot="1" x14ac:dyDescent="0.3">
      <c r="A78" s="3" t="s">
        <v>17</v>
      </c>
      <c r="B78" s="27"/>
      <c r="C78" s="27"/>
      <c r="D78" s="145">
        <f t="shared" si="0"/>
        <v>0</v>
      </c>
      <c r="F78" s="3" t="s">
        <v>17</v>
      </c>
      <c r="G78" s="27"/>
      <c r="H78" s="27"/>
      <c r="I78" s="145">
        <f t="shared" si="1"/>
        <v>0</v>
      </c>
    </row>
    <row r="79" spans="1:9" ht="13.8" thickBot="1" x14ac:dyDescent="0.3">
      <c r="A79" s="3" t="s">
        <v>18</v>
      </c>
      <c r="B79" s="27"/>
      <c r="C79" s="27"/>
      <c r="D79" s="145">
        <f t="shared" si="0"/>
        <v>0</v>
      </c>
      <c r="F79" s="3" t="s">
        <v>18</v>
      </c>
      <c r="G79" s="27"/>
      <c r="H79" s="27"/>
      <c r="I79" s="145">
        <f t="shared" si="1"/>
        <v>0</v>
      </c>
    </row>
    <row r="80" spans="1:9" ht="13.8" thickBot="1" x14ac:dyDescent="0.3">
      <c r="A80" s="7" t="s">
        <v>19</v>
      </c>
      <c r="B80" s="151">
        <f>SUM(B68:B79)</f>
        <v>0</v>
      </c>
      <c r="C80" s="151">
        <f>SUM(C68:C79)</f>
        <v>0</v>
      </c>
      <c r="D80" s="151">
        <f>SUM(D68:D79)</f>
        <v>0</v>
      </c>
      <c r="E80" s="8"/>
      <c r="F80" s="7" t="s">
        <v>19</v>
      </c>
      <c r="G80" s="151">
        <f>SUM(G68:G79)</f>
        <v>0</v>
      </c>
      <c r="H80" s="151">
        <f>SUM(H68:H79)</f>
        <v>0</v>
      </c>
      <c r="I80" s="151">
        <f>SUM(I68:I79)</f>
        <v>0</v>
      </c>
    </row>
    <row r="81" spans="1:9" x14ac:dyDescent="0.25">
      <c r="A81" s="17"/>
      <c r="B81" s="17"/>
      <c r="C81" s="17"/>
      <c r="D81" s="17"/>
      <c r="E81" s="18"/>
      <c r="F81" s="17"/>
      <c r="G81" s="17"/>
      <c r="H81" s="17"/>
      <c r="I81" s="17"/>
    </row>
    <row r="82" spans="1:9" x14ac:dyDescent="0.25">
      <c r="A82" s="17"/>
      <c r="B82" s="17"/>
      <c r="C82" s="17"/>
      <c r="D82" s="17"/>
      <c r="E82" s="18"/>
      <c r="F82" s="17"/>
      <c r="G82" s="17"/>
      <c r="H82" s="17"/>
      <c r="I82" s="17"/>
    </row>
    <row r="83" spans="1:9" x14ac:dyDescent="0.25">
      <c r="A83" s="17"/>
      <c r="B83" s="17"/>
      <c r="C83" s="17"/>
      <c r="D83" s="17"/>
      <c r="E83" s="18"/>
      <c r="F83" s="17"/>
      <c r="G83" s="17"/>
      <c r="H83" s="17"/>
      <c r="I83" s="17"/>
    </row>
    <row r="84" spans="1:9" ht="13.8" thickBot="1" x14ac:dyDescent="0.3">
      <c r="A84" s="17"/>
      <c r="B84" s="17"/>
      <c r="C84" s="17"/>
      <c r="D84" s="17"/>
      <c r="E84" s="18"/>
      <c r="F84" s="17"/>
      <c r="G84" s="17"/>
      <c r="H84" s="17"/>
      <c r="I84" s="17"/>
    </row>
    <row r="85" spans="1:9" ht="13.8" thickBot="1" x14ac:dyDescent="0.3">
      <c r="A85" s="31" t="s">
        <v>2</v>
      </c>
      <c r="B85" s="31" t="s">
        <v>26</v>
      </c>
      <c r="C85" s="32"/>
      <c r="D85" s="32"/>
      <c r="E85" s="17"/>
      <c r="F85" s="31" t="s">
        <v>2</v>
      </c>
      <c r="G85" s="31" t="s">
        <v>26</v>
      </c>
      <c r="H85" s="32"/>
      <c r="I85" s="32"/>
    </row>
    <row r="86" spans="1:9" ht="13.8" thickBot="1" x14ac:dyDescent="0.3">
      <c r="A86" s="4" t="s">
        <v>3</v>
      </c>
      <c r="B86" s="4" t="s">
        <v>4</v>
      </c>
      <c r="C86" s="4" t="s">
        <v>5</v>
      </c>
      <c r="D86" s="4" t="s">
        <v>6</v>
      </c>
      <c r="F86" s="4" t="s">
        <v>3</v>
      </c>
      <c r="G86" s="4" t="s">
        <v>4</v>
      </c>
      <c r="H86" s="4" t="s">
        <v>5</v>
      </c>
      <c r="I86" s="4" t="s">
        <v>6</v>
      </c>
    </row>
    <row r="87" spans="1:9" ht="13.8" thickBot="1" x14ac:dyDescent="0.3">
      <c r="A87" s="3" t="s">
        <v>7</v>
      </c>
      <c r="B87" s="27"/>
      <c r="C87" s="27"/>
      <c r="D87" s="145">
        <f>SUM(B87-C87)</f>
        <v>0</v>
      </c>
      <c r="F87" s="3" t="s">
        <v>7</v>
      </c>
      <c r="G87" s="27"/>
      <c r="H87" s="27"/>
      <c r="I87" s="145">
        <f>SUM(G87-H87)</f>
        <v>0</v>
      </c>
    </row>
    <row r="88" spans="1:9" ht="13.8" thickBot="1" x14ac:dyDescent="0.3">
      <c r="A88" s="3" t="s">
        <v>8</v>
      </c>
      <c r="B88" s="27"/>
      <c r="C88" s="27"/>
      <c r="D88" s="145">
        <f t="shared" ref="D88:D98" si="2">SUM(B88-C88)</f>
        <v>0</v>
      </c>
      <c r="F88" s="3" t="s">
        <v>8</v>
      </c>
      <c r="G88" s="27"/>
      <c r="H88" s="27"/>
      <c r="I88" s="145">
        <f t="shared" ref="I88:I98" si="3">SUM(G88-H88)</f>
        <v>0</v>
      </c>
    </row>
    <row r="89" spans="1:9" ht="13.8" thickBot="1" x14ac:dyDescent="0.3">
      <c r="A89" s="3" t="s">
        <v>9</v>
      </c>
      <c r="B89" s="27"/>
      <c r="C89" s="27"/>
      <c r="D89" s="145">
        <f t="shared" si="2"/>
        <v>0</v>
      </c>
      <c r="F89" s="3" t="s">
        <v>9</v>
      </c>
      <c r="G89" s="27"/>
      <c r="H89" s="27"/>
      <c r="I89" s="145">
        <f t="shared" si="3"/>
        <v>0</v>
      </c>
    </row>
    <row r="90" spans="1:9" ht="13.8" thickBot="1" x14ac:dyDescent="0.3">
      <c r="A90" s="3" t="s">
        <v>10</v>
      </c>
      <c r="B90" s="27"/>
      <c r="C90" s="27"/>
      <c r="D90" s="145">
        <f t="shared" si="2"/>
        <v>0</v>
      </c>
      <c r="F90" s="3" t="s">
        <v>10</v>
      </c>
      <c r="G90" s="27"/>
      <c r="H90" s="27"/>
      <c r="I90" s="145">
        <f t="shared" si="3"/>
        <v>0</v>
      </c>
    </row>
    <row r="91" spans="1:9" ht="13.8" thickBot="1" x14ac:dyDescent="0.3">
      <c r="A91" s="3" t="s">
        <v>11</v>
      </c>
      <c r="B91" s="27"/>
      <c r="C91" s="27"/>
      <c r="D91" s="145">
        <f t="shared" si="2"/>
        <v>0</v>
      </c>
      <c r="F91" s="3" t="s">
        <v>11</v>
      </c>
      <c r="G91" s="27"/>
      <c r="H91" s="27"/>
      <c r="I91" s="145">
        <f t="shared" si="3"/>
        <v>0</v>
      </c>
    </row>
    <row r="92" spans="1:9" ht="13.8" thickBot="1" x14ac:dyDescent="0.3">
      <c r="A92" s="3" t="s">
        <v>12</v>
      </c>
      <c r="B92" s="27"/>
      <c r="C92" s="27"/>
      <c r="D92" s="145">
        <f t="shared" si="2"/>
        <v>0</v>
      </c>
      <c r="F92" s="3" t="s">
        <v>12</v>
      </c>
      <c r="G92" s="27"/>
      <c r="H92" s="27"/>
      <c r="I92" s="145">
        <f t="shared" si="3"/>
        <v>0</v>
      </c>
    </row>
    <row r="93" spans="1:9" ht="13.8" thickBot="1" x14ac:dyDescent="0.3">
      <c r="A93" s="3" t="s">
        <v>13</v>
      </c>
      <c r="B93" s="27"/>
      <c r="C93" s="27"/>
      <c r="D93" s="145">
        <f t="shared" si="2"/>
        <v>0</v>
      </c>
      <c r="F93" s="3" t="s">
        <v>13</v>
      </c>
      <c r="G93" s="27"/>
      <c r="H93" s="27"/>
      <c r="I93" s="145">
        <f t="shared" si="3"/>
        <v>0</v>
      </c>
    </row>
    <row r="94" spans="1:9" ht="13.8" thickBot="1" x14ac:dyDescent="0.3">
      <c r="A94" s="3" t="s">
        <v>14</v>
      </c>
      <c r="B94" s="27"/>
      <c r="C94" s="27"/>
      <c r="D94" s="145">
        <f t="shared" si="2"/>
        <v>0</v>
      </c>
      <c r="F94" s="3" t="s">
        <v>14</v>
      </c>
      <c r="G94" s="27"/>
      <c r="H94" s="27"/>
      <c r="I94" s="145">
        <f t="shared" si="3"/>
        <v>0</v>
      </c>
    </row>
    <row r="95" spans="1:9" ht="13.8" thickBot="1" x14ac:dyDescent="0.3">
      <c r="A95" s="3" t="s">
        <v>15</v>
      </c>
      <c r="B95" s="27"/>
      <c r="C95" s="27"/>
      <c r="D95" s="145">
        <f t="shared" si="2"/>
        <v>0</v>
      </c>
      <c r="F95" s="3" t="s">
        <v>15</v>
      </c>
      <c r="G95" s="27"/>
      <c r="H95" s="27"/>
      <c r="I95" s="145">
        <f t="shared" si="3"/>
        <v>0</v>
      </c>
    </row>
    <row r="96" spans="1:9" ht="13.8" thickBot="1" x14ac:dyDescent="0.3">
      <c r="A96" s="3" t="s">
        <v>16</v>
      </c>
      <c r="B96" s="27"/>
      <c r="C96" s="27"/>
      <c r="D96" s="145">
        <f t="shared" si="2"/>
        <v>0</v>
      </c>
      <c r="F96" s="3" t="s">
        <v>16</v>
      </c>
      <c r="G96" s="27"/>
      <c r="H96" s="27"/>
      <c r="I96" s="145">
        <f t="shared" si="3"/>
        <v>0</v>
      </c>
    </row>
    <row r="97" spans="1:10" ht="13.8" thickBot="1" x14ac:dyDescent="0.3">
      <c r="A97" s="3" t="s">
        <v>17</v>
      </c>
      <c r="B97" s="27"/>
      <c r="C97" s="27"/>
      <c r="D97" s="145">
        <f t="shared" si="2"/>
        <v>0</v>
      </c>
      <c r="F97" s="3" t="s">
        <v>17</v>
      </c>
      <c r="G97" s="27"/>
      <c r="H97" s="27"/>
      <c r="I97" s="145">
        <f t="shared" si="3"/>
        <v>0</v>
      </c>
    </row>
    <row r="98" spans="1:10" ht="13.8" thickBot="1" x14ac:dyDescent="0.3">
      <c r="A98" s="3" t="s">
        <v>18</v>
      </c>
      <c r="B98" s="27"/>
      <c r="C98" s="27"/>
      <c r="D98" s="145">
        <f t="shared" si="2"/>
        <v>0</v>
      </c>
      <c r="F98" s="3" t="s">
        <v>18</v>
      </c>
      <c r="G98" s="27"/>
      <c r="H98" s="27"/>
      <c r="I98" s="145">
        <f t="shared" si="3"/>
        <v>0</v>
      </c>
    </row>
    <row r="99" spans="1:10" ht="13.8" thickBot="1" x14ac:dyDescent="0.3">
      <c r="A99" s="7" t="s">
        <v>19</v>
      </c>
      <c r="B99" s="151">
        <f>SUM(B87:B98)</f>
        <v>0</v>
      </c>
      <c r="C99" s="151">
        <f>SUM(C87:C98)</f>
        <v>0</v>
      </c>
      <c r="D99" s="151">
        <f>SUM(D87:D98)</f>
        <v>0</v>
      </c>
      <c r="E99" s="8"/>
      <c r="F99" s="7" t="s">
        <v>19</v>
      </c>
      <c r="G99" s="151">
        <f>SUM(G87:G98)</f>
        <v>0</v>
      </c>
      <c r="H99" s="151">
        <f>SUM(H87:H98)</f>
        <v>0</v>
      </c>
      <c r="I99" s="151">
        <f>SUM(I87:I98)</f>
        <v>0</v>
      </c>
    </row>
    <row r="100" spans="1:10" x14ac:dyDescent="0.25">
      <c r="A100" s="17"/>
      <c r="B100" s="17"/>
      <c r="C100" s="17"/>
      <c r="D100" s="17"/>
      <c r="E100" s="17"/>
      <c r="F100" s="17"/>
      <c r="G100" s="17"/>
      <c r="H100" s="17"/>
      <c r="I100" s="17"/>
    </row>
    <row r="101" spans="1:10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28" t="s">
        <v>26</v>
      </c>
    </row>
    <row r="102" spans="1:10" x14ac:dyDescent="0.25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10" x14ac:dyDescent="0.25">
      <c r="A103" s="17"/>
      <c r="B103" s="17"/>
      <c r="C103" s="17"/>
      <c r="D103" s="17"/>
      <c r="E103" s="17"/>
      <c r="F103" s="17"/>
      <c r="G103" s="17"/>
      <c r="H103" s="17"/>
      <c r="I103" s="17"/>
    </row>
    <row r="104" spans="1:10" x14ac:dyDescent="0.25">
      <c r="A104" s="18"/>
      <c r="B104" s="21"/>
      <c r="C104" s="21"/>
      <c r="D104" s="21"/>
      <c r="E104" s="18"/>
      <c r="F104" s="18"/>
      <c r="G104" s="18"/>
      <c r="H104" s="21" t="s">
        <v>25</v>
      </c>
      <c r="I104" s="149">
        <f>SUM($D$80+$I$99+$D$99+$I$80)</f>
        <v>0</v>
      </c>
    </row>
    <row r="105" spans="1:10" x14ac:dyDescent="0.25">
      <c r="A105" s="18"/>
      <c r="B105" s="21"/>
      <c r="C105" s="21"/>
      <c r="D105" s="21"/>
      <c r="E105" s="18"/>
      <c r="F105" s="18"/>
      <c r="G105" s="18" t="s">
        <v>26</v>
      </c>
      <c r="H105" s="21" t="s">
        <v>26</v>
      </c>
      <c r="I105" s="28" t="s">
        <v>26</v>
      </c>
    </row>
    <row r="106" spans="1:10" x14ac:dyDescent="0.25">
      <c r="A106" s="18"/>
      <c r="B106" s="21" t="s">
        <v>26</v>
      </c>
      <c r="C106" s="21"/>
      <c r="D106" s="18"/>
      <c r="E106" s="18"/>
      <c r="F106" s="18"/>
      <c r="G106" s="18"/>
      <c r="H106" s="21" t="s">
        <v>26</v>
      </c>
      <c r="I106" s="29" t="s">
        <v>26</v>
      </c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10" x14ac:dyDescent="0.25">
      <c r="A109" s="18"/>
      <c r="B109" s="21" t="s">
        <v>0</v>
      </c>
      <c r="C109" s="148" t="str">
        <f>C3</f>
        <v xml:space="preserve"> </v>
      </c>
      <c r="D109" s="19"/>
      <c r="E109" s="18"/>
      <c r="F109" s="18"/>
      <c r="G109" s="6" t="s">
        <v>53</v>
      </c>
      <c r="H109" s="148" t="str">
        <f>$G$3</f>
        <v xml:space="preserve"> </v>
      </c>
      <c r="I109" s="19"/>
    </row>
    <row r="110" spans="1:10" x14ac:dyDescent="0.25">
      <c r="A110" s="18"/>
      <c r="B110" s="21" t="s">
        <v>1</v>
      </c>
      <c r="C110" s="148" t="str">
        <f>C4</f>
        <v xml:space="preserve"> </v>
      </c>
      <c r="D110" s="19"/>
      <c r="E110" s="18"/>
      <c r="F110" s="18"/>
      <c r="G110" s="21" t="s">
        <v>26</v>
      </c>
      <c r="H110" s="19" t="s">
        <v>26</v>
      </c>
      <c r="I110" s="19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10" x14ac:dyDescent="0.25">
      <c r="D112" s="18"/>
      <c r="E112" s="18"/>
      <c r="F112" s="18"/>
      <c r="G112" s="18"/>
      <c r="H112" s="18"/>
      <c r="I112" s="18"/>
    </row>
    <row r="113" spans="1:9" x14ac:dyDescent="0.25">
      <c r="D113" s="18"/>
      <c r="E113" s="18"/>
      <c r="F113" s="18"/>
      <c r="G113" s="18"/>
      <c r="H113" s="18"/>
      <c r="I113" s="18"/>
    </row>
    <row r="114" spans="1:9" ht="13.8" thickBot="1" x14ac:dyDescent="0.3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ht="13.8" thickBot="1" x14ac:dyDescent="0.3">
      <c r="A115" s="31" t="s">
        <v>2</v>
      </c>
      <c r="B115" s="31" t="s">
        <v>26</v>
      </c>
      <c r="C115" s="32"/>
      <c r="D115" s="32"/>
      <c r="E115" s="18"/>
      <c r="F115" s="31" t="s">
        <v>2</v>
      </c>
      <c r="G115" s="31" t="s">
        <v>26</v>
      </c>
      <c r="H115" s="32"/>
      <c r="I115" s="32"/>
    </row>
    <row r="116" spans="1:9" ht="13.8" thickBot="1" x14ac:dyDescent="0.3">
      <c r="A116" s="4" t="s">
        <v>3</v>
      </c>
      <c r="B116" s="4" t="s">
        <v>4</v>
      </c>
      <c r="C116" s="4" t="s">
        <v>5</v>
      </c>
      <c r="D116" s="4" t="s">
        <v>6</v>
      </c>
      <c r="E116" s="1"/>
      <c r="F116" s="4" t="s">
        <v>3</v>
      </c>
      <c r="G116" s="4" t="s">
        <v>4</v>
      </c>
      <c r="H116" s="4" t="s">
        <v>5</v>
      </c>
      <c r="I116" s="4" t="s">
        <v>6</v>
      </c>
    </row>
    <row r="117" spans="1:9" ht="13.8" thickBot="1" x14ac:dyDescent="0.3">
      <c r="A117" s="3" t="s">
        <v>7</v>
      </c>
      <c r="B117" s="27"/>
      <c r="C117" s="27"/>
      <c r="D117" s="145">
        <f>SUM(B117-C117)</f>
        <v>0</v>
      </c>
      <c r="E117" s="2"/>
      <c r="F117" s="3" t="s">
        <v>7</v>
      </c>
      <c r="G117" s="27"/>
      <c r="H117" s="27"/>
      <c r="I117" s="145">
        <f>SUM(G117-H117)</f>
        <v>0</v>
      </c>
    </row>
    <row r="118" spans="1:9" ht="13.8" thickBot="1" x14ac:dyDescent="0.3">
      <c r="A118" s="3" t="s">
        <v>8</v>
      </c>
      <c r="B118" s="27"/>
      <c r="C118" s="27"/>
      <c r="D118" s="145">
        <f t="shared" ref="D118:D128" si="4">SUM(B118-C118)</f>
        <v>0</v>
      </c>
      <c r="E118" s="2"/>
      <c r="F118" s="3" t="s">
        <v>8</v>
      </c>
      <c r="G118" s="27"/>
      <c r="H118" s="27"/>
      <c r="I118" s="145">
        <f t="shared" ref="I118:I128" si="5">SUM(G118-H118)</f>
        <v>0</v>
      </c>
    </row>
    <row r="119" spans="1:9" ht="13.8" thickBot="1" x14ac:dyDescent="0.3">
      <c r="A119" s="3" t="s">
        <v>9</v>
      </c>
      <c r="B119" s="27"/>
      <c r="C119" s="27"/>
      <c r="D119" s="145">
        <f t="shared" si="4"/>
        <v>0</v>
      </c>
      <c r="E119" s="2"/>
      <c r="F119" s="3" t="s">
        <v>9</v>
      </c>
      <c r="G119" s="27"/>
      <c r="H119" s="27"/>
      <c r="I119" s="145">
        <f t="shared" si="5"/>
        <v>0</v>
      </c>
    </row>
    <row r="120" spans="1:9" ht="13.8" thickBot="1" x14ac:dyDescent="0.3">
      <c r="A120" s="3" t="s">
        <v>10</v>
      </c>
      <c r="B120" s="27"/>
      <c r="C120" s="27"/>
      <c r="D120" s="145">
        <f t="shared" si="4"/>
        <v>0</v>
      </c>
      <c r="E120" s="2"/>
      <c r="F120" s="3" t="s">
        <v>10</v>
      </c>
      <c r="G120" s="27"/>
      <c r="H120" s="27"/>
      <c r="I120" s="145">
        <f t="shared" si="5"/>
        <v>0</v>
      </c>
    </row>
    <row r="121" spans="1:9" ht="13.8" thickBot="1" x14ac:dyDescent="0.3">
      <c r="A121" s="3" t="s">
        <v>11</v>
      </c>
      <c r="B121" s="27"/>
      <c r="C121" s="27"/>
      <c r="D121" s="145">
        <f t="shared" si="4"/>
        <v>0</v>
      </c>
      <c r="E121" s="2"/>
      <c r="F121" s="3" t="s">
        <v>11</v>
      </c>
      <c r="G121" s="27"/>
      <c r="H121" s="27"/>
      <c r="I121" s="145">
        <f t="shared" si="5"/>
        <v>0</v>
      </c>
    </row>
    <row r="122" spans="1:9" ht="13.8" thickBot="1" x14ac:dyDescent="0.3">
      <c r="A122" s="3" t="s">
        <v>12</v>
      </c>
      <c r="B122" s="27"/>
      <c r="C122" s="27"/>
      <c r="D122" s="145">
        <f t="shared" si="4"/>
        <v>0</v>
      </c>
      <c r="E122" s="2"/>
      <c r="F122" s="3" t="s">
        <v>12</v>
      </c>
      <c r="G122" s="27"/>
      <c r="H122" s="27"/>
      <c r="I122" s="145">
        <f t="shared" si="5"/>
        <v>0</v>
      </c>
    </row>
    <row r="123" spans="1:9" ht="13.8" thickBot="1" x14ac:dyDescent="0.3">
      <c r="A123" s="3" t="s">
        <v>13</v>
      </c>
      <c r="B123" s="27"/>
      <c r="C123" s="27"/>
      <c r="D123" s="145">
        <f t="shared" si="4"/>
        <v>0</v>
      </c>
      <c r="E123" s="2"/>
      <c r="F123" s="3" t="s">
        <v>13</v>
      </c>
      <c r="G123" s="27"/>
      <c r="H123" s="27"/>
      <c r="I123" s="145">
        <f t="shared" si="5"/>
        <v>0</v>
      </c>
    </row>
    <row r="124" spans="1:9" ht="13.8" thickBot="1" x14ac:dyDescent="0.3">
      <c r="A124" s="3" t="s">
        <v>14</v>
      </c>
      <c r="B124" s="27"/>
      <c r="C124" s="27"/>
      <c r="D124" s="145">
        <f t="shared" si="4"/>
        <v>0</v>
      </c>
      <c r="E124" s="2"/>
      <c r="F124" s="3" t="s">
        <v>14</v>
      </c>
      <c r="G124" s="27"/>
      <c r="H124" s="27"/>
      <c r="I124" s="145">
        <f t="shared" si="5"/>
        <v>0</v>
      </c>
    </row>
    <row r="125" spans="1:9" ht="13.8" thickBot="1" x14ac:dyDescent="0.3">
      <c r="A125" s="3" t="s">
        <v>15</v>
      </c>
      <c r="B125" s="27"/>
      <c r="C125" s="27"/>
      <c r="D125" s="145">
        <f t="shared" si="4"/>
        <v>0</v>
      </c>
      <c r="E125" s="2"/>
      <c r="F125" s="3" t="s">
        <v>15</v>
      </c>
      <c r="G125" s="27"/>
      <c r="H125" s="27"/>
      <c r="I125" s="145">
        <f t="shared" si="5"/>
        <v>0</v>
      </c>
    </row>
    <row r="126" spans="1:9" ht="13.8" thickBot="1" x14ac:dyDescent="0.3">
      <c r="A126" s="3" t="s">
        <v>16</v>
      </c>
      <c r="B126" s="27"/>
      <c r="C126" s="27"/>
      <c r="D126" s="145">
        <f t="shared" si="4"/>
        <v>0</v>
      </c>
      <c r="E126" s="2"/>
      <c r="F126" s="3" t="s">
        <v>16</v>
      </c>
      <c r="G126" s="27"/>
      <c r="H126" s="27"/>
      <c r="I126" s="145">
        <f t="shared" si="5"/>
        <v>0</v>
      </c>
    </row>
    <row r="127" spans="1:9" ht="13.8" thickBot="1" x14ac:dyDescent="0.3">
      <c r="A127" s="3" t="s">
        <v>17</v>
      </c>
      <c r="B127" s="27"/>
      <c r="C127" s="27"/>
      <c r="D127" s="145">
        <f t="shared" si="4"/>
        <v>0</v>
      </c>
      <c r="E127" s="2"/>
      <c r="F127" s="3" t="s">
        <v>17</v>
      </c>
      <c r="G127" s="27"/>
      <c r="H127" s="27"/>
      <c r="I127" s="145">
        <f t="shared" si="5"/>
        <v>0</v>
      </c>
    </row>
    <row r="128" spans="1:9" ht="13.8" thickBot="1" x14ac:dyDescent="0.3">
      <c r="A128" s="3" t="s">
        <v>18</v>
      </c>
      <c r="B128" s="27"/>
      <c r="C128" s="27"/>
      <c r="D128" s="145">
        <f t="shared" si="4"/>
        <v>0</v>
      </c>
      <c r="E128" s="2"/>
      <c r="F128" s="3" t="s">
        <v>18</v>
      </c>
      <c r="G128" s="27"/>
      <c r="H128" s="27"/>
      <c r="I128" s="145">
        <f t="shared" si="5"/>
        <v>0</v>
      </c>
    </row>
    <row r="129" spans="1:9" ht="13.8" thickBot="1" x14ac:dyDescent="0.3">
      <c r="A129" s="9" t="s">
        <v>19</v>
      </c>
      <c r="B129" s="151">
        <f>SUM(B117:B128)</f>
        <v>0</v>
      </c>
      <c r="C129" s="151">
        <f>SUM(C117:C128)</f>
        <v>0</v>
      </c>
      <c r="D129" s="151">
        <f>SUM(D117:D128)</f>
        <v>0</v>
      </c>
      <c r="E129" s="10"/>
      <c r="F129" s="9" t="s">
        <v>19</v>
      </c>
      <c r="G129" s="151">
        <f>SUM(G117:G128)</f>
        <v>0</v>
      </c>
      <c r="H129" s="151">
        <f>SUM(H117:H128)</f>
        <v>0</v>
      </c>
      <c r="I129" s="151">
        <f>SUM(I117:I128)</f>
        <v>0</v>
      </c>
    </row>
    <row r="130" spans="1:9" x14ac:dyDescent="0.25">
      <c r="A130" s="17"/>
      <c r="B130" s="17"/>
      <c r="C130" s="17"/>
      <c r="D130" s="17"/>
      <c r="E130" s="17"/>
      <c r="F130" s="17"/>
      <c r="G130" s="17"/>
      <c r="H130" s="17"/>
      <c r="I130" s="17"/>
    </row>
    <row r="131" spans="1:9" x14ac:dyDescent="0.25">
      <c r="A131" s="17"/>
      <c r="B131" s="17"/>
      <c r="C131" s="17"/>
      <c r="D131" s="17"/>
      <c r="E131" s="17"/>
      <c r="F131" s="17"/>
      <c r="G131" s="17"/>
      <c r="H131" s="17"/>
      <c r="I131" s="17"/>
    </row>
    <row r="132" spans="1:9" x14ac:dyDescent="0.25">
      <c r="A132" s="17"/>
      <c r="B132" s="17"/>
      <c r="C132" s="17"/>
      <c r="D132" s="17"/>
      <c r="E132" s="17"/>
      <c r="F132" s="17"/>
      <c r="G132" s="17"/>
      <c r="H132" s="17"/>
      <c r="I132" s="17"/>
    </row>
    <row r="133" spans="1:9" ht="13.8" thickBot="1" x14ac:dyDescent="0.3">
      <c r="A133" s="17"/>
      <c r="B133" s="17"/>
      <c r="C133" s="17"/>
      <c r="D133" s="17"/>
      <c r="E133" s="17"/>
      <c r="F133" s="17"/>
      <c r="G133" s="17"/>
      <c r="H133" s="17"/>
      <c r="I133" s="17"/>
    </row>
    <row r="134" spans="1:9" ht="13.8" thickBot="1" x14ac:dyDescent="0.3">
      <c r="A134" s="31" t="s">
        <v>2</v>
      </c>
      <c r="B134" s="31" t="s">
        <v>26</v>
      </c>
      <c r="C134" s="32"/>
      <c r="D134" s="32"/>
      <c r="E134" s="18"/>
      <c r="F134" s="31" t="s">
        <v>2</v>
      </c>
      <c r="G134" s="31" t="s">
        <v>26</v>
      </c>
      <c r="H134" s="32"/>
      <c r="I134" s="32"/>
    </row>
    <row r="135" spans="1:9" ht="13.8" thickBot="1" x14ac:dyDescent="0.3">
      <c r="A135" s="4" t="s">
        <v>3</v>
      </c>
      <c r="B135" s="4" t="s">
        <v>4</v>
      </c>
      <c r="C135" s="4" t="s">
        <v>5</v>
      </c>
      <c r="D135" s="4" t="s">
        <v>6</v>
      </c>
      <c r="E135" s="2"/>
      <c r="F135" s="4" t="s">
        <v>3</v>
      </c>
      <c r="G135" s="4" t="s">
        <v>4</v>
      </c>
      <c r="H135" s="4" t="s">
        <v>5</v>
      </c>
      <c r="I135" s="4" t="s">
        <v>6</v>
      </c>
    </row>
    <row r="136" spans="1:9" ht="13.8" thickBot="1" x14ac:dyDescent="0.3">
      <c r="A136" s="3" t="s">
        <v>7</v>
      </c>
      <c r="B136" s="27"/>
      <c r="C136" s="27"/>
      <c r="D136" s="145">
        <f>SUM(B136-C136)</f>
        <v>0</v>
      </c>
      <c r="E136" s="2"/>
      <c r="F136" s="3" t="s">
        <v>7</v>
      </c>
      <c r="G136" s="27"/>
      <c r="H136" s="27"/>
      <c r="I136" s="145">
        <f>SUM(G136-H136)</f>
        <v>0</v>
      </c>
    </row>
    <row r="137" spans="1:9" ht="13.8" thickBot="1" x14ac:dyDescent="0.3">
      <c r="A137" s="3" t="s">
        <v>8</v>
      </c>
      <c r="B137" s="27"/>
      <c r="C137" s="27"/>
      <c r="D137" s="145">
        <f t="shared" ref="D137:D147" si="6">SUM(B137-C137)</f>
        <v>0</v>
      </c>
      <c r="E137" s="2"/>
      <c r="F137" s="3" t="s">
        <v>8</v>
      </c>
      <c r="G137" s="27"/>
      <c r="H137" s="27"/>
      <c r="I137" s="145">
        <f t="shared" ref="I137:I147" si="7">SUM(G137-H137)</f>
        <v>0</v>
      </c>
    </row>
    <row r="138" spans="1:9" ht="13.8" thickBot="1" x14ac:dyDescent="0.3">
      <c r="A138" s="3" t="s">
        <v>9</v>
      </c>
      <c r="B138" s="27"/>
      <c r="C138" s="27"/>
      <c r="D138" s="145">
        <f t="shared" si="6"/>
        <v>0</v>
      </c>
      <c r="E138" s="2"/>
      <c r="F138" s="3" t="s">
        <v>9</v>
      </c>
      <c r="G138" s="27"/>
      <c r="H138" s="27"/>
      <c r="I138" s="145">
        <f t="shared" si="7"/>
        <v>0</v>
      </c>
    </row>
    <row r="139" spans="1:9" ht="13.8" thickBot="1" x14ac:dyDescent="0.3">
      <c r="A139" s="3" t="s">
        <v>10</v>
      </c>
      <c r="B139" s="27"/>
      <c r="C139" s="27"/>
      <c r="D139" s="145">
        <f t="shared" si="6"/>
        <v>0</v>
      </c>
      <c r="E139" s="2"/>
      <c r="F139" s="3" t="s">
        <v>10</v>
      </c>
      <c r="G139" s="27"/>
      <c r="H139" s="27"/>
      <c r="I139" s="145">
        <f t="shared" si="7"/>
        <v>0</v>
      </c>
    </row>
    <row r="140" spans="1:9" ht="13.8" thickBot="1" x14ac:dyDescent="0.3">
      <c r="A140" s="3" t="s">
        <v>11</v>
      </c>
      <c r="B140" s="27"/>
      <c r="C140" s="27"/>
      <c r="D140" s="145">
        <f t="shared" si="6"/>
        <v>0</v>
      </c>
      <c r="E140" s="2"/>
      <c r="F140" s="3" t="s">
        <v>11</v>
      </c>
      <c r="G140" s="27"/>
      <c r="H140" s="27"/>
      <c r="I140" s="145">
        <f t="shared" si="7"/>
        <v>0</v>
      </c>
    </row>
    <row r="141" spans="1:9" ht="13.8" thickBot="1" x14ac:dyDescent="0.3">
      <c r="A141" s="3" t="s">
        <v>12</v>
      </c>
      <c r="B141" s="27"/>
      <c r="C141" s="27"/>
      <c r="D141" s="145">
        <f t="shared" si="6"/>
        <v>0</v>
      </c>
      <c r="E141" s="2"/>
      <c r="F141" s="3" t="s">
        <v>12</v>
      </c>
      <c r="G141" s="27"/>
      <c r="H141" s="27"/>
      <c r="I141" s="145">
        <f t="shared" si="7"/>
        <v>0</v>
      </c>
    </row>
    <row r="142" spans="1:9" ht="13.8" thickBot="1" x14ac:dyDescent="0.3">
      <c r="A142" s="3" t="s">
        <v>13</v>
      </c>
      <c r="B142" s="27"/>
      <c r="C142" s="27"/>
      <c r="D142" s="145">
        <f t="shared" si="6"/>
        <v>0</v>
      </c>
      <c r="E142" s="2"/>
      <c r="F142" s="3" t="s">
        <v>13</v>
      </c>
      <c r="G142" s="27"/>
      <c r="H142" s="27"/>
      <c r="I142" s="145">
        <f t="shared" si="7"/>
        <v>0</v>
      </c>
    </row>
    <row r="143" spans="1:9" ht="13.8" thickBot="1" x14ac:dyDescent="0.3">
      <c r="A143" s="3" t="s">
        <v>14</v>
      </c>
      <c r="B143" s="27"/>
      <c r="C143" s="27"/>
      <c r="D143" s="145">
        <f t="shared" si="6"/>
        <v>0</v>
      </c>
      <c r="E143" s="2"/>
      <c r="F143" s="3" t="s">
        <v>14</v>
      </c>
      <c r="G143" s="27"/>
      <c r="H143" s="27"/>
      <c r="I143" s="145">
        <f t="shared" si="7"/>
        <v>0</v>
      </c>
    </row>
    <row r="144" spans="1:9" ht="13.8" thickBot="1" x14ac:dyDescent="0.3">
      <c r="A144" s="3" t="s">
        <v>15</v>
      </c>
      <c r="B144" s="27"/>
      <c r="C144" s="27"/>
      <c r="D144" s="145">
        <f t="shared" si="6"/>
        <v>0</v>
      </c>
      <c r="E144" s="2"/>
      <c r="F144" s="3" t="s">
        <v>15</v>
      </c>
      <c r="G144" s="27"/>
      <c r="H144" s="27"/>
      <c r="I144" s="145">
        <f t="shared" si="7"/>
        <v>0</v>
      </c>
    </row>
    <row r="145" spans="1:9" ht="13.8" thickBot="1" x14ac:dyDescent="0.3">
      <c r="A145" s="3" t="s">
        <v>16</v>
      </c>
      <c r="B145" s="27"/>
      <c r="C145" s="27"/>
      <c r="D145" s="145">
        <f t="shared" si="6"/>
        <v>0</v>
      </c>
      <c r="E145" s="2"/>
      <c r="F145" s="3" t="s">
        <v>16</v>
      </c>
      <c r="G145" s="27"/>
      <c r="H145" s="27"/>
      <c r="I145" s="145">
        <f t="shared" si="7"/>
        <v>0</v>
      </c>
    </row>
    <row r="146" spans="1:9" ht="13.8" thickBot="1" x14ac:dyDescent="0.3">
      <c r="A146" s="3" t="s">
        <v>17</v>
      </c>
      <c r="B146" s="27"/>
      <c r="C146" s="27"/>
      <c r="D146" s="145">
        <f t="shared" si="6"/>
        <v>0</v>
      </c>
      <c r="E146" s="2"/>
      <c r="F146" s="3" t="s">
        <v>17</v>
      </c>
      <c r="G146" s="27"/>
      <c r="H146" s="27"/>
      <c r="I146" s="145">
        <f t="shared" si="7"/>
        <v>0</v>
      </c>
    </row>
    <row r="147" spans="1:9" ht="13.8" thickBot="1" x14ac:dyDescent="0.3">
      <c r="A147" s="3" t="s">
        <v>18</v>
      </c>
      <c r="B147" s="27"/>
      <c r="C147" s="27"/>
      <c r="D147" s="145">
        <f t="shared" si="6"/>
        <v>0</v>
      </c>
      <c r="E147" s="2"/>
      <c r="F147" s="3" t="s">
        <v>18</v>
      </c>
      <c r="G147" s="27"/>
      <c r="H147" s="27"/>
      <c r="I147" s="145">
        <f t="shared" si="7"/>
        <v>0</v>
      </c>
    </row>
    <row r="148" spans="1:9" ht="13.8" thickBot="1" x14ac:dyDescent="0.3">
      <c r="A148" s="7" t="s">
        <v>19</v>
      </c>
      <c r="B148" s="151">
        <f>SUM(B136:B147)</f>
        <v>0</v>
      </c>
      <c r="C148" s="151">
        <f>SUM(C136:C147)</f>
        <v>0</v>
      </c>
      <c r="D148" s="151">
        <f>SUM(D136:D147)</f>
        <v>0</v>
      </c>
      <c r="E148" s="11"/>
      <c r="F148" s="7" t="s">
        <v>19</v>
      </c>
      <c r="G148" s="151">
        <f>SUM(G136:G147)</f>
        <v>0</v>
      </c>
      <c r="H148" s="151">
        <f>SUM(H136:H147)</f>
        <v>0</v>
      </c>
      <c r="I148" s="151">
        <f>SUM(I136:I147)</f>
        <v>0</v>
      </c>
    </row>
    <row r="149" spans="1:9" x14ac:dyDescent="0.25">
      <c r="A149" s="17"/>
      <c r="B149" s="17"/>
      <c r="C149" s="17"/>
      <c r="D149" s="17"/>
      <c r="E149" s="17"/>
      <c r="F149" s="17"/>
      <c r="G149" s="17"/>
      <c r="H149" s="17"/>
      <c r="I149" s="17"/>
    </row>
    <row r="150" spans="1:9" x14ac:dyDescent="0.25">
      <c r="A150" s="17"/>
      <c r="B150" s="17"/>
      <c r="C150" s="17"/>
      <c r="D150" s="17"/>
      <c r="E150" s="17"/>
      <c r="F150" s="17"/>
      <c r="G150" s="17"/>
      <c r="H150" s="17"/>
      <c r="I150" s="17"/>
    </row>
    <row r="151" spans="1:9" x14ac:dyDescent="0.25">
      <c r="A151" s="17"/>
      <c r="B151" s="17"/>
      <c r="C151" s="17"/>
      <c r="D151" s="17"/>
      <c r="E151" s="17"/>
      <c r="F151" s="17"/>
      <c r="G151" s="17"/>
      <c r="H151" s="17"/>
      <c r="I151" s="17"/>
    </row>
    <row r="152" spans="1:9" x14ac:dyDescent="0.25">
      <c r="A152" s="17"/>
      <c r="B152" s="17"/>
      <c r="C152" s="17"/>
      <c r="D152" s="17"/>
      <c r="E152" s="17"/>
      <c r="F152" s="17"/>
      <c r="G152" s="17"/>
      <c r="H152" s="17"/>
      <c r="I152" s="17"/>
    </row>
    <row r="153" spans="1:9" x14ac:dyDescent="0.25">
      <c r="A153" s="18"/>
      <c r="B153" s="21"/>
      <c r="C153" s="21"/>
      <c r="D153" s="21"/>
      <c r="E153" s="18"/>
      <c r="F153" s="18"/>
      <c r="G153" s="18"/>
      <c r="H153" s="21" t="s">
        <v>25</v>
      </c>
      <c r="I153" s="149">
        <f>SUM($D$148+$I$148+$D$129+$I$129)</f>
        <v>0</v>
      </c>
    </row>
    <row r="154" spans="1:9" x14ac:dyDescent="0.25">
      <c r="A154" s="18"/>
      <c r="B154" s="21"/>
      <c r="C154" s="21"/>
      <c r="D154" s="21"/>
      <c r="E154" s="18"/>
      <c r="F154" s="18"/>
      <c r="G154" s="18"/>
      <c r="H154" s="21" t="s">
        <v>36</v>
      </c>
      <c r="I154" s="28" t="s">
        <v>26</v>
      </c>
    </row>
    <row r="155" spans="1:9" x14ac:dyDescent="0.25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 x14ac:dyDescent="0.25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 x14ac:dyDescent="0.25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 x14ac:dyDescent="0.25">
      <c r="A158" s="18"/>
      <c r="B158" s="21" t="s">
        <v>0</v>
      </c>
      <c r="C158" s="148" t="str">
        <f>C3</f>
        <v xml:space="preserve"> </v>
      </c>
      <c r="D158" s="19"/>
      <c r="E158" s="18"/>
      <c r="F158" s="18"/>
      <c r="G158" s="6" t="s">
        <v>53</v>
      </c>
      <c r="H158" s="148" t="str">
        <f>$G$3</f>
        <v xml:space="preserve"> </v>
      </c>
      <c r="I158" s="19"/>
    </row>
    <row r="159" spans="1:9" x14ac:dyDescent="0.25">
      <c r="A159" s="18"/>
      <c r="B159" s="21" t="s">
        <v>1</v>
      </c>
      <c r="C159" s="148" t="str">
        <f>C4</f>
        <v xml:space="preserve"> </v>
      </c>
      <c r="D159" s="19"/>
      <c r="E159" s="18"/>
      <c r="F159" s="18"/>
      <c r="G159" s="21" t="s">
        <v>26</v>
      </c>
      <c r="H159" s="19" t="s">
        <v>26</v>
      </c>
      <c r="I159" s="19"/>
    </row>
    <row r="160" spans="1:9" x14ac:dyDescent="0.25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 x14ac:dyDescent="0.25">
      <c r="A161" s="18"/>
      <c r="B161" s="21" t="s">
        <v>26</v>
      </c>
      <c r="C161" s="30" t="s">
        <v>26</v>
      </c>
      <c r="D161" s="18"/>
      <c r="E161" s="18"/>
      <c r="F161" s="18"/>
      <c r="G161" s="18"/>
      <c r="H161" s="18"/>
      <c r="I161" s="18"/>
    </row>
    <row r="162" spans="1:9" x14ac:dyDescent="0.25">
      <c r="A162" s="18"/>
      <c r="B162" s="18" t="s">
        <v>26</v>
      </c>
      <c r="C162" s="20"/>
      <c r="D162" s="18"/>
      <c r="E162" s="18"/>
      <c r="F162" s="18"/>
      <c r="G162" s="18"/>
      <c r="H162" s="18"/>
      <c r="I162" s="18"/>
    </row>
    <row r="163" spans="1:9" ht="13.8" thickBot="1" x14ac:dyDescent="0.3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 ht="13.8" thickBot="1" x14ac:dyDescent="0.3">
      <c r="A164" s="31" t="s">
        <v>2</v>
      </c>
      <c r="B164" s="31" t="s">
        <v>26</v>
      </c>
      <c r="C164" s="32"/>
      <c r="D164" s="32"/>
      <c r="E164" s="18"/>
      <c r="F164" s="31" t="s">
        <v>2</v>
      </c>
      <c r="G164" s="31" t="s">
        <v>26</v>
      </c>
      <c r="H164" s="32"/>
      <c r="I164" s="32"/>
    </row>
    <row r="165" spans="1:9" ht="13.8" thickBot="1" x14ac:dyDescent="0.3">
      <c r="A165" s="4" t="s">
        <v>3</v>
      </c>
      <c r="B165" s="4" t="s">
        <v>4</v>
      </c>
      <c r="C165" s="4" t="s">
        <v>5</v>
      </c>
      <c r="D165" s="4" t="s">
        <v>6</v>
      </c>
      <c r="E165" s="1"/>
      <c r="F165" s="4" t="s">
        <v>3</v>
      </c>
      <c r="G165" s="4" t="s">
        <v>4</v>
      </c>
      <c r="H165" s="4" t="s">
        <v>5</v>
      </c>
      <c r="I165" s="4" t="s">
        <v>6</v>
      </c>
    </row>
    <row r="166" spans="1:9" ht="13.8" thickBot="1" x14ac:dyDescent="0.3">
      <c r="A166" s="3" t="s">
        <v>7</v>
      </c>
      <c r="B166" s="27"/>
      <c r="C166" s="27"/>
      <c r="D166" s="145">
        <f t="shared" ref="D166:D177" si="8">SUM(B166-C166)</f>
        <v>0</v>
      </c>
      <c r="E166" s="2"/>
      <c r="F166" s="3" t="s">
        <v>7</v>
      </c>
      <c r="G166" s="27"/>
      <c r="H166" s="27"/>
      <c r="I166" s="145">
        <f t="shared" ref="I166:I177" si="9">SUM(G166-H166)</f>
        <v>0</v>
      </c>
    </row>
    <row r="167" spans="1:9" ht="13.8" thickBot="1" x14ac:dyDescent="0.3">
      <c r="A167" s="3" t="s">
        <v>8</v>
      </c>
      <c r="B167" s="27"/>
      <c r="C167" s="27"/>
      <c r="D167" s="145">
        <f t="shared" si="8"/>
        <v>0</v>
      </c>
      <c r="E167" s="2"/>
      <c r="F167" s="3" t="s">
        <v>8</v>
      </c>
      <c r="G167" s="27"/>
      <c r="H167" s="27"/>
      <c r="I167" s="145">
        <f t="shared" si="9"/>
        <v>0</v>
      </c>
    </row>
    <row r="168" spans="1:9" ht="13.8" thickBot="1" x14ac:dyDescent="0.3">
      <c r="A168" s="3" t="s">
        <v>9</v>
      </c>
      <c r="B168" s="27"/>
      <c r="C168" s="27"/>
      <c r="D168" s="145">
        <f t="shared" si="8"/>
        <v>0</v>
      </c>
      <c r="E168" s="2"/>
      <c r="F168" s="3" t="s">
        <v>9</v>
      </c>
      <c r="G168" s="27"/>
      <c r="H168" s="27"/>
      <c r="I168" s="145">
        <f t="shared" si="9"/>
        <v>0</v>
      </c>
    </row>
    <row r="169" spans="1:9" ht="13.8" thickBot="1" x14ac:dyDescent="0.3">
      <c r="A169" s="3" t="s">
        <v>10</v>
      </c>
      <c r="B169" s="27"/>
      <c r="C169" s="27"/>
      <c r="D169" s="145">
        <f t="shared" si="8"/>
        <v>0</v>
      </c>
      <c r="E169" s="2"/>
      <c r="F169" s="3" t="s">
        <v>10</v>
      </c>
      <c r="G169" s="27"/>
      <c r="H169" s="27"/>
      <c r="I169" s="145">
        <f t="shared" si="9"/>
        <v>0</v>
      </c>
    </row>
    <row r="170" spans="1:9" ht="13.8" thickBot="1" x14ac:dyDescent="0.3">
      <c r="A170" s="3" t="s">
        <v>11</v>
      </c>
      <c r="B170" s="27"/>
      <c r="C170" s="27"/>
      <c r="D170" s="145">
        <f t="shared" si="8"/>
        <v>0</v>
      </c>
      <c r="E170" s="2"/>
      <c r="F170" s="3" t="s">
        <v>11</v>
      </c>
      <c r="G170" s="27"/>
      <c r="H170" s="27"/>
      <c r="I170" s="145">
        <f t="shared" si="9"/>
        <v>0</v>
      </c>
    </row>
    <row r="171" spans="1:9" ht="13.8" thickBot="1" x14ac:dyDescent="0.3">
      <c r="A171" s="3" t="s">
        <v>12</v>
      </c>
      <c r="B171" s="27"/>
      <c r="C171" s="27"/>
      <c r="D171" s="145">
        <f t="shared" si="8"/>
        <v>0</v>
      </c>
      <c r="E171" s="2"/>
      <c r="F171" s="3" t="s">
        <v>12</v>
      </c>
      <c r="G171" s="27"/>
      <c r="H171" s="27"/>
      <c r="I171" s="145">
        <f t="shared" si="9"/>
        <v>0</v>
      </c>
    </row>
    <row r="172" spans="1:9" ht="13.8" thickBot="1" x14ac:dyDescent="0.3">
      <c r="A172" s="3" t="s">
        <v>13</v>
      </c>
      <c r="B172" s="27"/>
      <c r="C172" s="27"/>
      <c r="D172" s="145">
        <f t="shared" si="8"/>
        <v>0</v>
      </c>
      <c r="E172" s="2"/>
      <c r="F172" s="3" t="s">
        <v>13</v>
      </c>
      <c r="G172" s="27"/>
      <c r="H172" s="27"/>
      <c r="I172" s="145">
        <f t="shared" si="9"/>
        <v>0</v>
      </c>
    </row>
    <row r="173" spans="1:9" ht="13.8" thickBot="1" x14ac:dyDescent="0.3">
      <c r="A173" s="3" t="s">
        <v>14</v>
      </c>
      <c r="B173" s="27"/>
      <c r="C173" s="27"/>
      <c r="D173" s="145">
        <f t="shared" si="8"/>
        <v>0</v>
      </c>
      <c r="E173" s="2"/>
      <c r="F173" s="3" t="s">
        <v>14</v>
      </c>
      <c r="G173" s="27"/>
      <c r="H173" s="27"/>
      <c r="I173" s="145">
        <f t="shared" si="9"/>
        <v>0</v>
      </c>
    </row>
    <row r="174" spans="1:9" ht="13.8" thickBot="1" x14ac:dyDescent="0.3">
      <c r="A174" s="3" t="s">
        <v>15</v>
      </c>
      <c r="B174" s="27"/>
      <c r="C174" s="27"/>
      <c r="D174" s="145">
        <f t="shared" si="8"/>
        <v>0</v>
      </c>
      <c r="E174" s="2"/>
      <c r="F174" s="3" t="s">
        <v>15</v>
      </c>
      <c r="G174" s="27"/>
      <c r="H174" s="27"/>
      <c r="I174" s="145">
        <f t="shared" si="9"/>
        <v>0</v>
      </c>
    </row>
    <row r="175" spans="1:9" ht="13.8" thickBot="1" x14ac:dyDescent="0.3">
      <c r="A175" s="3" t="s">
        <v>16</v>
      </c>
      <c r="B175" s="27"/>
      <c r="C175" s="27"/>
      <c r="D175" s="145">
        <f t="shared" si="8"/>
        <v>0</v>
      </c>
      <c r="E175" s="2"/>
      <c r="F175" s="3" t="s">
        <v>16</v>
      </c>
      <c r="G175" s="27"/>
      <c r="H175" s="27"/>
      <c r="I175" s="145">
        <f t="shared" si="9"/>
        <v>0</v>
      </c>
    </row>
    <row r="176" spans="1:9" ht="13.8" thickBot="1" x14ac:dyDescent="0.3">
      <c r="A176" s="3" t="s">
        <v>17</v>
      </c>
      <c r="B176" s="27"/>
      <c r="C176" s="27"/>
      <c r="D176" s="145">
        <f t="shared" si="8"/>
        <v>0</v>
      </c>
      <c r="E176" s="2"/>
      <c r="F176" s="3" t="s">
        <v>17</v>
      </c>
      <c r="G176" s="27"/>
      <c r="H176" s="27"/>
      <c r="I176" s="145">
        <f t="shared" si="9"/>
        <v>0</v>
      </c>
    </row>
    <row r="177" spans="1:9" ht="13.8" thickBot="1" x14ac:dyDescent="0.3">
      <c r="A177" s="3" t="s">
        <v>18</v>
      </c>
      <c r="B177" s="27"/>
      <c r="C177" s="27"/>
      <c r="D177" s="145">
        <f t="shared" si="8"/>
        <v>0</v>
      </c>
      <c r="E177" s="2"/>
      <c r="F177" s="3" t="s">
        <v>18</v>
      </c>
      <c r="G177" s="27"/>
      <c r="H177" s="27"/>
      <c r="I177" s="145">
        <f t="shared" si="9"/>
        <v>0</v>
      </c>
    </row>
    <row r="178" spans="1:9" ht="13.8" thickBot="1" x14ac:dyDescent="0.3">
      <c r="A178" s="7" t="s">
        <v>19</v>
      </c>
      <c r="B178" s="151">
        <f>SUM(B166:B177)</f>
        <v>0</v>
      </c>
      <c r="C178" s="151">
        <f>SUM(C166:C177)</f>
        <v>0</v>
      </c>
      <c r="D178" s="151">
        <f>SUM(D166:D177)</f>
        <v>0</v>
      </c>
      <c r="E178" s="11"/>
      <c r="F178" s="7" t="s">
        <v>19</v>
      </c>
      <c r="G178" s="151">
        <f>SUM(G166:G177)</f>
        <v>0</v>
      </c>
      <c r="H178" s="151">
        <f>SUM(H166:H177)</f>
        <v>0</v>
      </c>
      <c r="I178" s="151">
        <f>SUM(I166:I177)</f>
        <v>0</v>
      </c>
    </row>
    <row r="179" spans="1:9" x14ac:dyDescent="0.25">
      <c r="A179" s="17"/>
      <c r="B179" s="17"/>
      <c r="C179" s="17"/>
      <c r="D179" s="17"/>
      <c r="E179" s="17"/>
      <c r="F179" s="17"/>
      <c r="G179" s="17"/>
      <c r="H179" s="17"/>
      <c r="I179" s="17"/>
    </row>
    <row r="180" spans="1:9" x14ac:dyDescent="0.25">
      <c r="A180" s="17"/>
      <c r="B180" s="17"/>
      <c r="C180" s="17"/>
      <c r="D180" s="17"/>
      <c r="E180" s="17"/>
      <c r="F180" s="17"/>
      <c r="G180" s="17"/>
      <c r="H180" s="17"/>
      <c r="I180" s="17"/>
    </row>
    <row r="181" spans="1:9" x14ac:dyDescent="0.25">
      <c r="A181" s="17"/>
      <c r="B181" s="17"/>
      <c r="C181" s="17"/>
      <c r="D181" s="17"/>
      <c r="E181" s="17"/>
      <c r="F181" s="17"/>
      <c r="G181" s="17"/>
      <c r="H181" s="17"/>
      <c r="I181" s="17"/>
    </row>
    <row r="182" spans="1:9" ht="13.8" thickBot="1" x14ac:dyDescent="0.3">
      <c r="A182" s="17"/>
      <c r="B182" s="17"/>
      <c r="C182" s="17"/>
      <c r="D182" s="17"/>
      <c r="E182" s="17"/>
      <c r="F182" s="17"/>
      <c r="G182" s="17"/>
      <c r="H182" s="17"/>
      <c r="I182" s="17"/>
    </row>
    <row r="183" spans="1:9" ht="13.8" thickBot="1" x14ac:dyDescent="0.3">
      <c r="A183" s="31" t="s">
        <v>2</v>
      </c>
      <c r="B183" s="31" t="s">
        <v>26</v>
      </c>
      <c r="C183" s="32"/>
      <c r="D183" s="32"/>
      <c r="E183" s="18"/>
      <c r="F183" s="31" t="s">
        <v>2</v>
      </c>
      <c r="G183" s="31" t="s">
        <v>26</v>
      </c>
      <c r="H183" s="32"/>
      <c r="I183" s="32"/>
    </row>
    <row r="184" spans="1:9" ht="13.8" thickBot="1" x14ac:dyDescent="0.3">
      <c r="A184" s="4" t="s">
        <v>3</v>
      </c>
      <c r="B184" s="4" t="s">
        <v>4</v>
      </c>
      <c r="C184" s="4" t="s">
        <v>5</v>
      </c>
      <c r="D184" s="4" t="s">
        <v>6</v>
      </c>
      <c r="E184" s="2"/>
      <c r="F184" s="4" t="s">
        <v>3</v>
      </c>
      <c r="G184" s="4" t="s">
        <v>4</v>
      </c>
      <c r="H184" s="4" t="s">
        <v>5</v>
      </c>
      <c r="I184" s="4" t="s">
        <v>6</v>
      </c>
    </row>
    <row r="185" spans="1:9" ht="13.8" thickBot="1" x14ac:dyDescent="0.3">
      <c r="A185" s="3" t="s">
        <v>7</v>
      </c>
      <c r="B185" s="27"/>
      <c r="C185" s="27"/>
      <c r="D185" s="145">
        <f t="shared" ref="D185:D196" si="10">SUM(B185-C185)</f>
        <v>0</v>
      </c>
      <c r="E185" s="2"/>
      <c r="F185" s="3" t="s">
        <v>7</v>
      </c>
      <c r="G185" s="27"/>
      <c r="H185" s="27"/>
      <c r="I185" s="145">
        <f t="shared" ref="I185:I196" si="11">SUM(G185-H185)</f>
        <v>0</v>
      </c>
    </row>
    <row r="186" spans="1:9" ht="13.8" thickBot="1" x14ac:dyDescent="0.3">
      <c r="A186" s="3" t="s">
        <v>8</v>
      </c>
      <c r="B186" s="27"/>
      <c r="C186" s="27"/>
      <c r="D186" s="145">
        <f t="shared" si="10"/>
        <v>0</v>
      </c>
      <c r="E186" s="2"/>
      <c r="F186" s="3" t="s">
        <v>8</v>
      </c>
      <c r="G186" s="27"/>
      <c r="H186" s="27"/>
      <c r="I186" s="145">
        <f t="shared" si="11"/>
        <v>0</v>
      </c>
    </row>
    <row r="187" spans="1:9" ht="13.8" thickBot="1" x14ac:dyDescent="0.3">
      <c r="A187" s="3" t="s">
        <v>9</v>
      </c>
      <c r="B187" s="27"/>
      <c r="C187" s="27"/>
      <c r="D187" s="145">
        <f t="shared" si="10"/>
        <v>0</v>
      </c>
      <c r="E187" s="2"/>
      <c r="F187" s="3" t="s">
        <v>9</v>
      </c>
      <c r="G187" s="27"/>
      <c r="H187" s="27"/>
      <c r="I187" s="145">
        <f t="shared" si="11"/>
        <v>0</v>
      </c>
    </row>
    <row r="188" spans="1:9" ht="13.8" thickBot="1" x14ac:dyDescent="0.3">
      <c r="A188" s="3" t="s">
        <v>10</v>
      </c>
      <c r="B188" s="27"/>
      <c r="C188" s="27"/>
      <c r="D188" s="145">
        <f t="shared" si="10"/>
        <v>0</v>
      </c>
      <c r="E188" s="2"/>
      <c r="F188" s="3" t="s">
        <v>10</v>
      </c>
      <c r="G188" s="27"/>
      <c r="H188" s="27"/>
      <c r="I188" s="145">
        <f t="shared" si="11"/>
        <v>0</v>
      </c>
    </row>
    <row r="189" spans="1:9" ht="13.8" thickBot="1" x14ac:dyDescent="0.3">
      <c r="A189" s="3" t="s">
        <v>11</v>
      </c>
      <c r="B189" s="27"/>
      <c r="C189" s="27"/>
      <c r="D189" s="145">
        <f t="shared" si="10"/>
        <v>0</v>
      </c>
      <c r="E189" s="2"/>
      <c r="F189" s="3" t="s">
        <v>11</v>
      </c>
      <c r="G189" s="27"/>
      <c r="H189" s="27"/>
      <c r="I189" s="145">
        <f t="shared" si="11"/>
        <v>0</v>
      </c>
    </row>
    <row r="190" spans="1:9" ht="13.8" thickBot="1" x14ac:dyDescent="0.3">
      <c r="A190" s="3" t="s">
        <v>12</v>
      </c>
      <c r="B190" s="27"/>
      <c r="C190" s="27"/>
      <c r="D190" s="145">
        <f t="shared" si="10"/>
        <v>0</v>
      </c>
      <c r="E190" s="2"/>
      <c r="F190" s="3" t="s">
        <v>12</v>
      </c>
      <c r="G190" s="27"/>
      <c r="H190" s="27"/>
      <c r="I190" s="145">
        <f t="shared" si="11"/>
        <v>0</v>
      </c>
    </row>
    <row r="191" spans="1:9" ht="13.8" thickBot="1" x14ac:dyDescent="0.3">
      <c r="A191" s="3" t="s">
        <v>13</v>
      </c>
      <c r="B191" s="27"/>
      <c r="C191" s="27"/>
      <c r="D191" s="145">
        <f t="shared" si="10"/>
        <v>0</v>
      </c>
      <c r="E191" s="2"/>
      <c r="F191" s="3" t="s">
        <v>13</v>
      </c>
      <c r="G191" s="27"/>
      <c r="H191" s="27"/>
      <c r="I191" s="145">
        <f t="shared" si="11"/>
        <v>0</v>
      </c>
    </row>
    <row r="192" spans="1:9" ht="13.8" thickBot="1" x14ac:dyDescent="0.3">
      <c r="A192" s="3" t="s">
        <v>14</v>
      </c>
      <c r="B192" s="27"/>
      <c r="C192" s="27"/>
      <c r="D192" s="145">
        <f t="shared" si="10"/>
        <v>0</v>
      </c>
      <c r="E192" s="2"/>
      <c r="F192" s="3" t="s">
        <v>14</v>
      </c>
      <c r="G192" s="27"/>
      <c r="H192" s="27"/>
      <c r="I192" s="145">
        <f t="shared" si="11"/>
        <v>0</v>
      </c>
    </row>
    <row r="193" spans="1:9" ht="13.8" thickBot="1" x14ac:dyDescent="0.3">
      <c r="A193" s="3" t="s">
        <v>15</v>
      </c>
      <c r="B193" s="27"/>
      <c r="C193" s="27"/>
      <c r="D193" s="145">
        <f t="shared" si="10"/>
        <v>0</v>
      </c>
      <c r="E193" s="2"/>
      <c r="F193" s="3" t="s">
        <v>15</v>
      </c>
      <c r="G193" s="27"/>
      <c r="H193" s="27"/>
      <c r="I193" s="145">
        <f t="shared" si="11"/>
        <v>0</v>
      </c>
    </row>
    <row r="194" spans="1:9" ht="13.8" thickBot="1" x14ac:dyDescent="0.3">
      <c r="A194" s="3" t="s">
        <v>16</v>
      </c>
      <c r="B194" s="27"/>
      <c r="C194" s="27"/>
      <c r="D194" s="145">
        <f t="shared" si="10"/>
        <v>0</v>
      </c>
      <c r="E194" s="2"/>
      <c r="F194" s="3" t="s">
        <v>16</v>
      </c>
      <c r="G194" s="27"/>
      <c r="H194" s="27"/>
      <c r="I194" s="145">
        <f t="shared" si="11"/>
        <v>0</v>
      </c>
    </row>
    <row r="195" spans="1:9" ht="13.8" thickBot="1" x14ac:dyDescent="0.3">
      <c r="A195" s="3" t="s">
        <v>17</v>
      </c>
      <c r="B195" s="27"/>
      <c r="C195" s="27"/>
      <c r="D195" s="145">
        <f t="shared" si="10"/>
        <v>0</v>
      </c>
      <c r="E195" s="2"/>
      <c r="F195" s="3" t="s">
        <v>17</v>
      </c>
      <c r="G195" s="27"/>
      <c r="H195" s="27"/>
      <c r="I195" s="145">
        <f t="shared" si="11"/>
        <v>0</v>
      </c>
    </row>
    <row r="196" spans="1:9" ht="13.8" thickBot="1" x14ac:dyDescent="0.3">
      <c r="A196" s="3" t="s">
        <v>18</v>
      </c>
      <c r="B196" s="27"/>
      <c r="C196" s="27"/>
      <c r="D196" s="145">
        <f t="shared" si="10"/>
        <v>0</v>
      </c>
      <c r="E196" s="2"/>
      <c r="F196" s="3" t="s">
        <v>18</v>
      </c>
      <c r="G196" s="27"/>
      <c r="H196" s="27"/>
      <c r="I196" s="145">
        <f t="shared" si="11"/>
        <v>0</v>
      </c>
    </row>
    <row r="197" spans="1:9" ht="13.8" thickBot="1" x14ac:dyDescent="0.3">
      <c r="A197" s="7" t="s">
        <v>19</v>
      </c>
      <c r="B197" s="151">
        <f>SUM(B185:B196)</f>
        <v>0</v>
      </c>
      <c r="C197" s="151">
        <f>SUM(C185:C196)</f>
        <v>0</v>
      </c>
      <c r="D197" s="151">
        <f>SUM(D185:D196)</f>
        <v>0</v>
      </c>
      <c r="E197" s="11"/>
      <c r="F197" s="7" t="s">
        <v>19</v>
      </c>
      <c r="G197" s="151">
        <f>SUM(G185:G196)</f>
        <v>0</v>
      </c>
      <c r="H197" s="151">
        <f>SUM(H185:H196)</f>
        <v>0</v>
      </c>
      <c r="I197" s="151">
        <f>SUM(I185:I196)</f>
        <v>0</v>
      </c>
    </row>
    <row r="198" spans="1:9" x14ac:dyDescent="0.25">
      <c r="A198" s="17"/>
      <c r="B198" s="17"/>
      <c r="C198" s="17"/>
      <c r="D198" s="17"/>
      <c r="E198" s="17"/>
      <c r="F198" s="17"/>
      <c r="G198" s="17"/>
      <c r="H198" s="17"/>
      <c r="I198" s="17"/>
    </row>
    <row r="199" spans="1:9" x14ac:dyDescent="0.25">
      <c r="A199" s="17"/>
      <c r="B199" s="17"/>
      <c r="C199" s="17"/>
      <c r="D199" s="17"/>
      <c r="E199" s="17"/>
      <c r="F199" s="17"/>
      <c r="G199" s="17"/>
      <c r="H199" s="17"/>
      <c r="I199" s="17"/>
    </row>
    <row r="200" spans="1:9" x14ac:dyDescent="0.25">
      <c r="A200" s="17"/>
      <c r="B200" s="17"/>
      <c r="C200" s="17"/>
      <c r="D200" s="17"/>
      <c r="E200" s="17"/>
      <c r="F200" s="17"/>
      <c r="G200" s="17"/>
      <c r="H200" s="17"/>
      <c r="I200" s="17"/>
    </row>
    <row r="201" spans="1:9" x14ac:dyDescent="0.25">
      <c r="A201" s="17"/>
      <c r="B201" s="17"/>
      <c r="C201" s="17"/>
      <c r="D201" s="17"/>
      <c r="E201" s="17"/>
      <c r="F201" s="17"/>
      <c r="G201" s="17"/>
      <c r="H201" s="17"/>
      <c r="I201" s="17"/>
    </row>
    <row r="202" spans="1:9" x14ac:dyDescent="0.25">
      <c r="A202" s="18"/>
      <c r="B202" s="21"/>
      <c r="C202" s="21"/>
      <c r="D202" s="21"/>
      <c r="E202" s="18"/>
      <c r="F202" s="18"/>
      <c r="G202" s="18"/>
      <c r="H202" s="21" t="s">
        <v>25</v>
      </c>
      <c r="I202" s="149">
        <f>SUM($D$197+$I$197+$D$178+$I$178)</f>
        <v>0</v>
      </c>
    </row>
    <row r="203" spans="1:9" x14ac:dyDescent="0.25">
      <c r="A203" s="18"/>
      <c r="B203" s="18"/>
      <c r="C203" s="18"/>
      <c r="D203" s="18"/>
      <c r="E203" s="18"/>
      <c r="F203" s="18"/>
      <c r="G203" s="18"/>
      <c r="H203" s="18"/>
      <c r="I203" s="18"/>
    </row>
    <row r="204" spans="1:9" x14ac:dyDescent="0.25">
      <c r="A204" s="17"/>
      <c r="B204" s="17"/>
      <c r="C204" s="17"/>
      <c r="D204" s="17"/>
      <c r="E204" s="17"/>
      <c r="F204" s="17"/>
      <c r="G204" s="17"/>
      <c r="H204" s="17"/>
      <c r="I204" s="17"/>
    </row>
    <row r="205" spans="1:9" x14ac:dyDescent="0.25">
      <c r="A205" s="17"/>
      <c r="B205" s="17"/>
      <c r="C205" s="17"/>
      <c r="D205" s="17"/>
      <c r="E205" s="17"/>
      <c r="F205" s="17"/>
      <c r="G205" s="17"/>
      <c r="H205" s="17"/>
      <c r="I205" s="17"/>
    </row>
    <row r="206" spans="1:9" x14ac:dyDescent="0.25">
      <c r="A206" s="17"/>
      <c r="B206" s="17"/>
      <c r="C206" s="17"/>
      <c r="D206" s="17"/>
      <c r="E206" s="17"/>
      <c r="F206" s="17"/>
      <c r="G206" s="17"/>
      <c r="H206" s="17"/>
      <c r="I206" s="17"/>
    </row>
    <row r="207" spans="1:9" x14ac:dyDescent="0.25">
      <c r="A207" s="18"/>
      <c r="B207" s="21" t="s">
        <v>0</v>
      </c>
      <c r="C207" s="148" t="str">
        <f>C3</f>
        <v xml:space="preserve"> </v>
      </c>
      <c r="D207" s="19"/>
      <c r="E207" s="18"/>
      <c r="F207" s="18"/>
      <c r="G207" s="6" t="s">
        <v>53</v>
      </c>
      <c r="H207" s="148" t="str">
        <f>$G$3</f>
        <v xml:space="preserve"> </v>
      </c>
      <c r="I207" s="19"/>
    </row>
    <row r="208" spans="1:9" x14ac:dyDescent="0.25">
      <c r="A208" s="18"/>
      <c r="B208" s="21" t="s">
        <v>1</v>
      </c>
      <c r="C208" s="148" t="str">
        <f>C4</f>
        <v xml:space="preserve"> </v>
      </c>
      <c r="D208" s="19"/>
      <c r="E208" s="18"/>
      <c r="F208" s="18"/>
      <c r="G208" s="21" t="s">
        <v>26</v>
      </c>
      <c r="H208" s="19" t="s">
        <v>26</v>
      </c>
      <c r="I208" s="19"/>
    </row>
    <row r="209" spans="1:9" x14ac:dyDescent="0.25">
      <c r="A209" s="18"/>
      <c r="B209" s="18"/>
      <c r="C209" s="18"/>
      <c r="D209" s="18"/>
      <c r="E209" s="18"/>
      <c r="F209" s="18"/>
      <c r="G209" s="18"/>
      <c r="H209" s="18"/>
      <c r="I209" s="18"/>
    </row>
    <row r="210" spans="1:9" x14ac:dyDescent="0.25">
      <c r="A210" s="18"/>
      <c r="B210" s="21" t="s">
        <v>26</v>
      </c>
      <c r="C210" s="30" t="s">
        <v>26</v>
      </c>
      <c r="D210" s="18"/>
      <c r="E210" s="18"/>
      <c r="F210" s="18"/>
      <c r="G210" s="18"/>
      <c r="H210" s="18"/>
      <c r="I210" s="18"/>
    </row>
    <row r="211" spans="1:9" x14ac:dyDescent="0.25">
      <c r="A211" s="18"/>
      <c r="B211" s="21" t="s">
        <v>26</v>
      </c>
      <c r="C211" s="20" t="s">
        <v>26</v>
      </c>
      <c r="D211" s="18"/>
      <c r="E211" s="18"/>
      <c r="F211" s="18"/>
      <c r="G211" s="18"/>
      <c r="H211" s="18"/>
      <c r="I211" s="18"/>
    </row>
    <row r="212" spans="1:9" ht="13.8" thickBot="1" x14ac:dyDescent="0.3">
      <c r="A212" s="18"/>
      <c r="B212" s="18"/>
      <c r="C212" s="18"/>
      <c r="D212" s="18"/>
      <c r="E212" s="18"/>
      <c r="F212" s="18"/>
      <c r="G212" s="18"/>
      <c r="H212" s="18"/>
      <c r="I212" s="18"/>
    </row>
    <row r="213" spans="1:9" ht="13.8" thickBot="1" x14ac:dyDescent="0.3">
      <c r="A213" s="31" t="s">
        <v>2</v>
      </c>
      <c r="B213" s="31" t="s">
        <v>26</v>
      </c>
      <c r="C213" s="32"/>
      <c r="D213" s="32"/>
      <c r="E213" s="18"/>
      <c r="F213" s="31" t="s">
        <v>2</v>
      </c>
      <c r="G213" s="31" t="s">
        <v>26</v>
      </c>
      <c r="H213" s="32"/>
      <c r="I213" s="32"/>
    </row>
    <row r="214" spans="1:9" ht="13.8" thickBot="1" x14ac:dyDescent="0.3">
      <c r="A214" s="4" t="s">
        <v>3</v>
      </c>
      <c r="B214" s="4" t="s">
        <v>4</v>
      </c>
      <c r="C214" s="4" t="s">
        <v>5</v>
      </c>
      <c r="D214" s="4" t="s">
        <v>6</v>
      </c>
      <c r="E214" s="1"/>
      <c r="F214" s="4" t="s">
        <v>3</v>
      </c>
      <c r="G214" s="4" t="s">
        <v>4</v>
      </c>
      <c r="H214" s="4" t="s">
        <v>5</v>
      </c>
      <c r="I214" s="4" t="s">
        <v>6</v>
      </c>
    </row>
    <row r="215" spans="1:9" ht="13.8" thickBot="1" x14ac:dyDescent="0.3">
      <c r="A215" s="3" t="s">
        <v>7</v>
      </c>
      <c r="B215" s="27"/>
      <c r="C215" s="27"/>
      <c r="D215" s="145">
        <f t="shared" ref="D215:D226" si="12">SUM(B215-C215)</f>
        <v>0</v>
      </c>
      <c r="E215" s="2"/>
      <c r="F215" s="3" t="s">
        <v>7</v>
      </c>
      <c r="G215" s="27"/>
      <c r="H215" s="27"/>
      <c r="I215" s="145">
        <f t="shared" ref="I215:I226" si="13">SUM(G215-H215)</f>
        <v>0</v>
      </c>
    </row>
    <row r="216" spans="1:9" ht="13.8" thickBot="1" x14ac:dyDescent="0.3">
      <c r="A216" s="3" t="s">
        <v>8</v>
      </c>
      <c r="B216" s="27"/>
      <c r="C216" s="27"/>
      <c r="D216" s="145">
        <f t="shared" si="12"/>
        <v>0</v>
      </c>
      <c r="E216" s="2"/>
      <c r="F216" s="3" t="s">
        <v>8</v>
      </c>
      <c r="G216" s="27"/>
      <c r="H216" s="27"/>
      <c r="I216" s="145">
        <f t="shared" si="13"/>
        <v>0</v>
      </c>
    </row>
    <row r="217" spans="1:9" ht="13.8" thickBot="1" x14ac:dyDescent="0.3">
      <c r="A217" s="3" t="s">
        <v>9</v>
      </c>
      <c r="B217" s="27"/>
      <c r="C217" s="27"/>
      <c r="D217" s="145">
        <f t="shared" si="12"/>
        <v>0</v>
      </c>
      <c r="E217" s="2"/>
      <c r="F217" s="3" t="s">
        <v>9</v>
      </c>
      <c r="G217" s="27"/>
      <c r="H217" s="27"/>
      <c r="I217" s="145">
        <f t="shared" si="13"/>
        <v>0</v>
      </c>
    </row>
    <row r="218" spans="1:9" ht="13.8" thickBot="1" x14ac:dyDescent="0.3">
      <c r="A218" s="3" t="s">
        <v>10</v>
      </c>
      <c r="B218" s="27"/>
      <c r="C218" s="27"/>
      <c r="D218" s="145">
        <f t="shared" si="12"/>
        <v>0</v>
      </c>
      <c r="E218" s="2"/>
      <c r="F218" s="3" t="s">
        <v>10</v>
      </c>
      <c r="G218" s="27"/>
      <c r="H218" s="27"/>
      <c r="I218" s="145">
        <f t="shared" si="13"/>
        <v>0</v>
      </c>
    </row>
    <row r="219" spans="1:9" ht="13.8" thickBot="1" x14ac:dyDescent="0.3">
      <c r="A219" s="3" t="s">
        <v>11</v>
      </c>
      <c r="B219" s="27"/>
      <c r="C219" s="27"/>
      <c r="D219" s="145">
        <f t="shared" si="12"/>
        <v>0</v>
      </c>
      <c r="E219" s="2"/>
      <c r="F219" s="3" t="s">
        <v>11</v>
      </c>
      <c r="G219" s="27"/>
      <c r="H219" s="27"/>
      <c r="I219" s="145">
        <f t="shared" si="13"/>
        <v>0</v>
      </c>
    </row>
    <row r="220" spans="1:9" ht="13.8" thickBot="1" x14ac:dyDescent="0.3">
      <c r="A220" s="3" t="s">
        <v>12</v>
      </c>
      <c r="B220" s="27"/>
      <c r="C220" s="27"/>
      <c r="D220" s="145">
        <f t="shared" si="12"/>
        <v>0</v>
      </c>
      <c r="E220" s="2"/>
      <c r="F220" s="3" t="s">
        <v>12</v>
      </c>
      <c r="G220" s="27"/>
      <c r="H220" s="27"/>
      <c r="I220" s="145">
        <f t="shared" si="13"/>
        <v>0</v>
      </c>
    </row>
    <row r="221" spans="1:9" ht="13.8" thickBot="1" x14ac:dyDescent="0.3">
      <c r="A221" s="3" t="s">
        <v>13</v>
      </c>
      <c r="B221" s="27"/>
      <c r="C221" s="27"/>
      <c r="D221" s="145">
        <f t="shared" si="12"/>
        <v>0</v>
      </c>
      <c r="E221" s="2"/>
      <c r="F221" s="3" t="s">
        <v>13</v>
      </c>
      <c r="G221" s="27"/>
      <c r="H221" s="27"/>
      <c r="I221" s="145">
        <f t="shared" si="13"/>
        <v>0</v>
      </c>
    </row>
    <row r="222" spans="1:9" ht="13.8" thickBot="1" x14ac:dyDescent="0.3">
      <c r="A222" s="3" t="s">
        <v>14</v>
      </c>
      <c r="B222" s="27"/>
      <c r="C222" s="27"/>
      <c r="D222" s="145">
        <f t="shared" si="12"/>
        <v>0</v>
      </c>
      <c r="E222" s="2"/>
      <c r="F222" s="3" t="s">
        <v>14</v>
      </c>
      <c r="G222" s="27"/>
      <c r="H222" s="27"/>
      <c r="I222" s="145">
        <f t="shared" si="13"/>
        <v>0</v>
      </c>
    </row>
    <row r="223" spans="1:9" ht="13.8" thickBot="1" x14ac:dyDescent="0.3">
      <c r="A223" s="3" t="s">
        <v>15</v>
      </c>
      <c r="B223" s="27"/>
      <c r="C223" s="27"/>
      <c r="D223" s="145">
        <f t="shared" si="12"/>
        <v>0</v>
      </c>
      <c r="E223" s="2"/>
      <c r="F223" s="3" t="s">
        <v>15</v>
      </c>
      <c r="G223" s="27"/>
      <c r="H223" s="27"/>
      <c r="I223" s="145">
        <f t="shared" si="13"/>
        <v>0</v>
      </c>
    </row>
    <row r="224" spans="1:9" ht="13.8" thickBot="1" x14ac:dyDescent="0.3">
      <c r="A224" s="3" t="s">
        <v>16</v>
      </c>
      <c r="B224" s="27"/>
      <c r="C224" s="27"/>
      <c r="D224" s="145">
        <f t="shared" si="12"/>
        <v>0</v>
      </c>
      <c r="E224" s="2"/>
      <c r="F224" s="3" t="s">
        <v>16</v>
      </c>
      <c r="G224" s="27"/>
      <c r="H224" s="27"/>
      <c r="I224" s="145">
        <f t="shared" si="13"/>
        <v>0</v>
      </c>
    </row>
    <row r="225" spans="1:9" ht="13.8" thickBot="1" x14ac:dyDescent="0.3">
      <c r="A225" s="3" t="s">
        <v>17</v>
      </c>
      <c r="B225" s="27"/>
      <c r="C225" s="27"/>
      <c r="D225" s="145">
        <f t="shared" si="12"/>
        <v>0</v>
      </c>
      <c r="E225" s="2"/>
      <c r="F225" s="3" t="s">
        <v>17</v>
      </c>
      <c r="G225" s="27"/>
      <c r="H225" s="27"/>
      <c r="I225" s="145">
        <f t="shared" si="13"/>
        <v>0</v>
      </c>
    </row>
    <row r="226" spans="1:9" ht="13.8" thickBot="1" x14ac:dyDescent="0.3">
      <c r="A226" s="3" t="s">
        <v>18</v>
      </c>
      <c r="B226" s="27"/>
      <c r="C226" s="27"/>
      <c r="D226" s="145">
        <f t="shared" si="12"/>
        <v>0</v>
      </c>
      <c r="E226" s="2"/>
      <c r="F226" s="3" t="s">
        <v>18</v>
      </c>
      <c r="G226" s="27"/>
      <c r="H226" s="27"/>
      <c r="I226" s="145">
        <f t="shared" si="13"/>
        <v>0</v>
      </c>
    </row>
    <row r="227" spans="1:9" ht="13.8" thickBot="1" x14ac:dyDescent="0.3">
      <c r="A227" s="7" t="s">
        <v>19</v>
      </c>
      <c r="B227" s="151">
        <f>SUM(B215:B226)</f>
        <v>0</v>
      </c>
      <c r="C227" s="151">
        <f>SUM(C215:C226)</f>
        <v>0</v>
      </c>
      <c r="D227" s="151">
        <f>SUM(D215:D226)</f>
        <v>0</v>
      </c>
      <c r="E227" s="11"/>
      <c r="F227" s="7" t="s">
        <v>19</v>
      </c>
      <c r="G227" s="151">
        <f>SUM(G215:G226)</f>
        <v>0</v>
      </c>
      <c r="H227" s="151">
        <f>SUM(H215:H226)</f>
        <v>0</v>
      </c>
      <c r="I227" s="151">
        <f>SUM(I215:I226)</f>
        <v>0</v>
      </c>
    </row>
    <row r="228" spans="1:9" x14ac:dyDescent="0.25">
      <c r="A228" s="17"/>
      <c r="B228" s="17"/>
      <c r="C228" s="17"/>
      <c r="D228" s="17"/>
      <c r="E228" s="17"/>
      <c r="F228" s="17"/>
      <c r="G228" s="17"/>
      <c r="H228" s="17"/>
      <c r="I228" s="17"/>
    </row>
    <row r="229" spans="1:9" x14ac:dyDescent="0.25">
      <c r="A229" s="17"/>
      <c r="B229" s="17"/>
      <c r="C229" s="17"/>
      <c r="D229" s="17"/>
      <c r="E229" s="17"/>
      <c r="F229" s="17"/>
      <c r="G229" s="17"/>
      <c r="H229" s="17"/>
      <c r="I229" s="17"/>
    </row>
    <row r="230" spans="1:9" x14ac:dyDescent="0.25">
      <c r="A230" s="17"/>
      <c r="B230" s="17"/>
      <c r="C230" s="17"/>
      <c r="D230" s="17"/>
      <c r="E230" s="17"/>
      <c r="F230" s="17"/>
      <c r="G230" s="17"/>
      <c r="H230" s="17"/>
      <c r="I230" s="17"/>
    </row>
    <row r="231" spans="1:9" ht="13.8" thickBot="1" x14ac:dyDescent="0.3">
      <c r="A231" s="17"/>
      <c r="B231" s="17"/>
      <c r="C231" s="17"/>
      <c r="D231" s="17"/>
      <c r="E231" s="17"/>
      <c r="F231" s="17"/>
      <c r="G231" s="17"/>
      <c r="H231" s="17"/>
      <c r="I231" s="17"/>
    </row>
    <row r="232" spans="1:9" ht="13.8" thickBot="1" x14ac:dyDescent="0.3">
      <c r="A232" s="31" t="s">
        <v>2</v>
      </c>
      <c r="B232" s="31" t="s">
        <v>26</v>
      </c>
      <c r="C232" s="32"/>
      <c r="D232" s="32"/>
      <c r="E232" s="18"/>
      <c r="F232" s="31" t="s">
        <v>2</v>
      </c>
      <c r="G232" s="31" t="s">
        <v>26</v>
      </c>
      <c r="H232" s="32"/>
      <c r="I232" s="32"/>
    </row>
    <row r="233" spans="1:9" ht="13.8" thickBot="1" x14ac:dyDescent="0.3">
      <c r="A233" s="4" t="s">
        <v>3</v>
      </c>
      <c r="B233" s="4" t="s">
        <v>4</v>
      </c>
      <c r="C233" s="4" t="s">
        <v>5</v>
      </c>
      <c r="D233" s="4" t="s">
        <v>6</v>
      </c>
      <c r="E233" s="2"/>
      <c r="F233" s="4" t="s">
        <v>3</v>
      </c>
      <c r="G233" s="4" t="s">
        <v>4</v>
      </c>
      <c r="H233" s="4" t="s">
        <v>5</v>
      </c>
      <c r="I233" s="4" t="s">
        <v>6</v>
      </c>
    </row>
    <row r="234" spans="1:9" ht="13.8" thickBot="1" x14ac:dyDescent="0.3">
      <c r="A234" s="3" t="s">
        <v>7</v>
      </c>
      <c r="B234" s="27"/>
      <c r="C234" s="27"/>
      <c r="D234" s="145">
        <f t="shared" ref="D234:D245" si="14">SUM(B234-C234)</f>
        <v>0</v>
      </c>
      <c r="E234" s="2"/>
      <c r="F234" s="3" t="s">
        <v>7</v>
      </c>
      <c r="G234" s="27"/>
      <c r="H234" s="27"/>
      <c r="I234" s="145">
        <f t="shared" ref="I234:I245" si="15">SUM(G234-H234)</f>
        <v>0</v>
      </c>
    </row>
    <row r="235" spans="1:9" ht="13.8" thickBot="1" x14ac:dyDescent="0.3">
      <c r="A235" s="3" t="s">
        <v>8</v>
      </c>
      <c r="B235" s="27"/>
      <c r="C235" s="27"/>
      <c r="D235" s="145">
        <f t="shared" si="14"/>
        <v>0</v>
      </c>
      <c r="E235" s="2"/>
      <c r="F235" s="3" t="s">
        <v>8</v>
      </c>
      <c r="G235" s="27"/>
      <c r="H235" s="27"/>
      <c r="I235" s="145">
        <f t="shared" si="15"/>
        <v>0</v>
      </c>
    </row>
    <row r="236" spans="1:9" ht="13.8" thickBot="1" x14ac:dyDescent="0.3">
      <c r="A236" s="3" t="s">
        <v>9</v>
      </c>
      <c r="B236" s="27"/>
      <c r="C236" s="27"/>
      <c r="D236" s="145">
        <f t="shared" si="14"/>
        <v>0</v>
      </c>
      <c r="E236" s="2"/>
      <c r="F236" s="3" t="s">
        <v>9</v>
      </c>
      <c r="G236" s="27"/>
      <c r="H236" s="27"/>
      <c r="I236" s="145">
        <f t="shared" si="15"/>
        <v>0</v>
      </c>
    </row>
    <row r="237" spans="1:9" ht="13.8" thickBot="1" x14ac:dyDescent="0.3">
      <c r="A237" s="3" t="s">
        <v>10</v>
      </c>
      <c r="B237" s="27"/>
      <c r="C237" s="27"/>
      <c r="D237" s="145">
        <f t="shared" si="14"/>
        <v>0</v>
      </c>
      <c r="E237" s="2"/>
      <c r="F237" s="3" t="s">
        <v>10</v>
      </c>
      <c r="G237" s="27"/>
      <c r="H237" s="27"/>
      <c r="I237" s="145">
        <f t="shared" si="15"/>
        <v>0</v>
      </c>
    </row>
    <row r="238" spans="1:9" ht="13.8" thickBot="1" x14ac:dyDescent="0.3">
      <c r="A238" s="3" t="s">
        <v>11</v>
      </c>
      <c r="B238" s="27"/>
      <c r="C238" s="27"/>
      <c r="D238" s="145">
        <f t="shared" si="14"/>
        <v>0</v>
      </c>
      <c r="E238" s="2"/>
      <c r="F238" s="3" t="s">
        <v>11</v>
      </c>
      <c r="G238" s="27"/>
      <c r="H238" s="27"/>
      <c r="I238" s="145">
        <f t="shared" si="15"/>
        <v>0</v>
      </c>
    </row>
    <row r="239" spans="1:9" ht="13.8" thickBot="1" x14ac:dyDescent="0.3">
      <c r="A239" s="3" t="s">
        <v>12</v>
      </c>
      <c r="B239" s="27"/>
      <c r="C239" s="27"/>
      <c r="D239" s="145">
        <f t="shared" si="14"/>
        <v>0</v>
      </c>
      <c r="E239" s="2"/>
      <c r="F239" s="3" t="s">
        <v>12</v>
      </c>
      <c r="G239" s="27"/>
      <c r="H239" s="27"/>
      <c r="I239" s="145">
        <f t="shared" si="15"/>
        <v>0</v>
      </c>
    </row>
    <row r="240" spans="1:9" ht="13.8" thickBot="1" x14ac:dyDescent="0.3">
      <c r="A240" s="3" t="s">
        <v>13</v>
      </c>
      <c r="B240" s="27"/>
      <c r="C240" s="27"/>
      <c r="D240" s="145">
        <f t="shared" si="14"/>
        <v>0</v>
      </c>
      <c r="E240" s="2"/>
      <c r="F240" s="3" t="s">
        <v>13</v>
      </c>
      <c r="G240" s="27"/>
      <c r="H240" s="27"/>
      <c r="I240" s="145">
        <f t="shared" si="15"/>
        <v>0</v>
      </c>
    </row>
    <row r="241" spans="1:9" ht="13.8" thickBot="1" x14ac:dyDescent="0.3">
      <c r="A241" s="3" t="s">
        <v>14</v>
      </c>
      <c r="B241" s="27"/>
      <c r="C241" s="27"/>
      <c r="D241" s="145">
        <f t="shared" si="14"/>
        <v>0</v>
      </c>
      <c r="E241" s="2"/>
      <c r="F241" s="3" t="s">
        <v>14</v>
      </c>
      <c r="G241" s="27"/>
      <c r="H241" s="27"/>
      <c r="I241" s="145">
        <f t="shared" si="15"/>
        <v>0</v>
      </c>
    </row>
    <row r="242" spans="1:9" ht="13.8" thickBot="1" x14ac:dyDescent="0.3">
      <c r="A242" s="3" t="s">
        <v>15</v>
      </c>
      <c r="B242" s="27"/>
      <c r="C242" s="27"/>
      <c r="D242" s="145">
        <f t="shared" si="14"/>
        <v>0</v>
      </c>
      <c r="E242" s="2"/>
      <c r="F242" s="3" t="s">
        <v>15</v>
      </c>
      <c r="G242" s="27"/>
      <c r="H242" s="27"/>
      <c r="I242" s="145">
        <f t="shared" si="15"/>
        <v>0</v>
      </c>
    </row>
    <row r="243" spans="1:9" ht="13.8" thickBot="1" x14ac:dyDescent="0.3">
      <c r="A243" s="3" t="s">
        <v>16</v>
      </c>
      <c r="B243" s="27"/>
      <c r="C243" s="27"/>
      <c r="D243" s="145">
        <f t="shared" si="14"/>
        <v>0</v>
      </c>
      <c r="E243" s="2"/>
      <c r="F243" s="3" t="s">
        <v>16</v>
      </c>
      <c r="G243" s="27"/>
      <c r="H243" s="27"/>
      <c r="I243" s="145">
        <f t="shared" si="15"/>
        <v>0</v>
      </c>
    </row>
    <row r="244" spans="1:9" ht="13.8" thickBot="1" x14ac:dyDescent="0.3">
      <c r="A244" s="3" t="s">
        <v>17</v>
      </c>
      <c r="B244" s="27"/>
      <c r="C244" s="27"/>
      <c r="D244" s="145">
        <f t="shared" si="14"/>
        <v>0</v>
      </c>
      <c r="E244" s="2"/>
      <c r="F244" s="3" t="s">
        <v>17</v>
      </c>
      <c r="G244" s="27"/>
      <c r="H244" s="27"/>
      <c r="I244" s="145">
        <f t="shared" si="15"/>
        <v>0</v>
      </c>
    </row>
    <row r="245" spans="1:9" ht="13.8" thickBot="1" x14ac:dyDescent="0.3">
      <c r="A245" s="3" t="s">
        <v>18</v>
      </c>
      <c r="B245" s="27"/>
      <c r="C245" s="27"/>
      <c r="D245" s="145">
        <f t="shared" si="14"/>
        <v>0</v>
      </c>
      <c r="E245" s="2"/>
      <c r="F245" s="3" t="s">
        <v>18</v>
      </c>
      <c r="G245" s="27"/>
      <c r="H245" s="27"/>
      <c r="I245" s="145">
        <f t="shared" si="15"/>
        <v>0</v>
      </c>
    </row>
    <row r="246" spans="1:9" ht="13.8" thickBot="1" x14ac:dyDescent="0.3">
      <c r="A246" s="7" t="s">
        <v>19</v>
      </c>
      <c r="B246" s="151">
        <f>SUM(B234:B245)</f>
        <v>0</v>
      </c>
      <c r="C246" s="151">
        <f>SUM(C234:C245)</f>
        <v>0</v>
      </c>
      <c r="D246" s="151">
        <f>SUM(D234:D245)</f>
        <v>0</v>
      </c>
      <c r="E246" s="11"/>
      <c r="F246" s="7" t="s">
        <v>19</v>
      </c>
      <c r="G246" s="151">
        <f>SUM(G234:G245)</f>
        <v>0</v>
      </c>
      <c r="H246" s="151">
        <f>SUM(H234:H245)</f>
        <v>0</v>
      </c>
      <c r="I246" s="151">
        <f>SUM(I234:I245)</f>
        <v>0</v>
      </c>
    </row>
    <row r="247" spans="1:9" x14ac:dyDescent="0.25">
      <c r="A247" s="17"/>
      <c r="B247" s="17"/>
      <c r="C247" s="17"/>
      <c r="D247" s="17"/>
      <c r="E247" s="17"/>
      <c r="F247" s="17"/>
      <c r="G247" s="17"/>
      <c r="H247" s="17"/>
      <c r="I247" s="17"/>
    </row>
    <row r="248" spans="1:9" x14ac:dyDescent="0.25">
      <c r="A248" s="17"/>
      <c r="B248" s="17"/>
      <c r="C248" s="17"/>
      <c r="D248" s="17"/>
      <c r="E248" s="17"/>
      <c r="F248" s="17"/>
      <c r="G248" s="17"/>
      <c r="H248" s="17"/>
      <c r="I248" s="17"/>
    </row>
    <row r="249" spans="1:9" x14ac:dyDescent="0.25">
      <c r="A249" s="17"/>
      <c r="B249" s="17"/>
      <c r="C249" s="17"/>
      <c r="D249" s="17"/>
      <c r="E249" s="17"/>
      <c r="F249" s="17"/>
      <c r="G249" s="17"/>
      <c r="H249" s="17"/>
      <c r="I249" s="17"/>
    </row>
    <row r="250" spans="1:9" x14ac:dyDescent="0.25">
      <c r="A250" s="17"/>
      <c r="B250" s="17"/>
      <c r="C250" s="17"/>
      <c r="D250" s="17"/>
      <c r="E250" s="17"/>
      <c r="F250" s="17"/>
      <c r="G250" s="17"/>
      <c r="H250" s="17"/>
      <c r="I250" s="17"/>
    </row>
    <row r="251" spans="1:9" x14ac:dyDescent="0.25">
      <c r="A251" s="18"/>
      <c r="B251" s="21"/>
      <c r="C251" s="21"/>
      <c r="D251" s="21"/>
      <c r="E251" s="18"/>
      <c r="F251" s="18"/>
      <c r="G251" s="18"/>
      <c r="H251" s="21" t="s">
        <v>25</v>
      </c>
      <c r="I251" s="149">
        <f>SUM($D$246+$I$246+$D$227+$I$227)</f>
        <v>0</v>
      </c>
    </row>
    <row r="252" spans="1:9" x14ac:dyDescent="0.25">
      <c r="A252" s="18"/>
      <c r="B252" s="18"/>
      <c r="C252" s="18"/>
      <c r="D252" s="18"/>
      <c r="E252" s="18"/>
      <c r="F252" s="18"/>
      <c r="G252" s="18"/>
      <c r="H252" s="18"/>
      <c r="I252" s="18"/>
    </row>
    <row r="253" spans="1:9" x14ac:dyDescent="0.25">
      <c r="A253" s="18"/>
      <c r="B253" s="18"/>
      <c r="C253" s="18"/>
      <c r="D253" s="18"/>
      <c r="E253" s="18"/>
      <c r="F253" s="18"/>
      <c r="G253" s="18"/>
      <c r="H253" s="18"/>
      <c r="I253" s="18"/>
    </row>
    <row r="254" spans="1:9" x14ac:dyDescent="0.25">
      <c r="A254" s="17"/>
      <c r="B254" s="17"/>
      <c r="C254" s="17"/>
      <c r="D254" s="17"/>
      <c r="E254" s="17"/>
      <c r="F254" s="17"/>
      <c r="G254" s="17"/>
      <c r="H254" s="17"/>
      <c r="I254" s="17"/>
    </row>
    <row r="255" spans="1:9" x14ac:dyDescent="0.25">
      <c r="A255" s="17"/>
      <c r="B255" s="17"/>
      <c r="C255" s="17"/>
      <c r="D255" s="17"/>
      <c r="E255" s="17"/>
      <c r="F255" s="17"/>
      <c r="G255" s="17"/>
      <c r="H255" s="17"/>
      <c r="I255" s="17"/>
    </row>
    <row r="256" spans="1:9" x14ac:dyDescent="0.25">
      <c r="A256" s="18"/>
      <c r="B256" s="21" t="s">
        <v>0</v>
      </c>
      <c r="C256" s="148" t="str">
        <f>C3</f>
        <v xml:space="preserve"> </v>
      </c>
      <c r="D256" s="19"/>
      <c r="E256" s="18"/>
      <c r="F256" s="18"/>
      <c r="G256" s="6" t="s">
        <v>53</v>
      </c>
      <c r="H256" s="148" t="str">
        <f>$G$3</f>
        <v xml:space="preserve"> </v>
      </c>
      <c r="I256" s="19"/>
    </row>
    <row r="257" spans="1:9" x14ac:dyDescent="0.25">
      <c r="A257" s="18"/>
      <c r="B257" s="21" t="s">
        <v>1</v>
      </c>
      <c r="C257" s="148" t="str">
        <f>C4</f>
        <v xml:space="preserve"> </v>
      </c>
      <c r="D257" s="19"/>
      <c r="E257" s="18"/>
      <c r="F257" s="18"/>
      <c r="G257" s="21" t="s">
        <v>26</v>
      </c>
      <c r="H257" s="19" t="s">
        <v>26</v>
      </c>
      <c r="I257" s="19"/>
    </row>
    <row r="258" spans="1:9" x14ac:dyDescent="0.25">
      <c r="A258" s="18"/>
      <c r="B258" s="18"/>
      <c r="C258" s="18"/>
      <c r="D258" s="18"/>
      <c r="E258" s="18"/>
      <c r="F258" s="18"/>
      <c r="G258" s="18"/>
      <c r="H258" s="18"/>
      <c r="I258" s="18"/>
    </row>
    <row r="259" spans="1:9" x14ac:dyDescent="0.25">
      <c r="A259" s="18"/>
      <c r="B259" s="21" t="s">
        <v>26</v>
      </c>
      <c r="C259" s="30" t="s">
        <v>26</v>
      </c>
      <c r="D259" s="18"/>
      <c r="E259" s="18"/>
      <c r="F259" s="18"/>
      <c r="G259" s="18"/>
      <c r="H259" s="18"/>
      <c r="I259" s="18"/>
    </row>
    <row r="260" spans="1:9" x14ac:dyDescent="0.25">
      <c r="A260" s="18"/>
      <c r="B260" s="21" t="s">
        <v>26</v>
      </c>
      <c r="C260" s="20" t="s">
        <v>26</v>
      </c>
      <c r="D260" s="18"/>
      <c r="E260" s="18"/>
      <c r="F260" s="18"/>
      <c r="G260" s="18"/>
      <c r="H260" s="18"/>
      <c r="I260" s="18"/>
    </row>
    <row r="261" spans="1:9" ht="13.8" thickBot="1" x14ac:dyDescent="0.3">
      <c r="A261" s="18"/>
      <c r="B261" s="18"/>
      <c r="C261" s="18"/>
      <c r="D261" s="18"/>
      <c r="E261" s="18"/>
      <c r="F261" s="18"/>
      <c r="G261" s="18"/>
      <c r="H261" s="18"/>
      <c r="I261" s="18"/>
    </row>
    <row r="262" spans="1:9" ht="13.8" thickBot="1" x14ac:dyDescent="0.3">
      <c r="A262" s="31" t="s">
        <v>2</v>
      </c>
      <c r="B262" s="31" t="s">
        <v>26</v>
      </c>
      <c r="C262" s="32"/>
      <c r="D262" s="32"/>
      <c r="E262" s="18"/>
      <c r="F262" s="31" t="s">
        <v>2</v>
      </c>
      <c r="G262" s="31" t="s">
        <v>26</v>
      </c>
      <c r="H262" s="32"/>
      <c r="I262" s="32"/>
    </row>
    <row r="263" spans="1:9" ht="13.8" thickBot="1" x14ac:dyDescent="0.3">
      <c r="A263" s="4" t="s">
        <v>3</v>
      </c>
      <c r="B263" s="4" t="s">
        <v>4</v>
      </c>
      <c r="C263" s="4" t="s">
        <v>5</v>
      </c>
      <c r="D263" s="4" t="s">
        <v>6</v>
      </c>
      <c r="E263" s="1"/>
      <c r="F263" s="4" t="s">
        <v>3</v>
      </c>
      <c r="G263" s="4" t="s">
        <v>4</v>
      </c>
      <c r="H263" s="4" t="s">
        <v>5</v>
      </c>
      <c r="I263" s="4" t="s">
        <v>6</v>
      </c>
    </row>
    <row r="264" spans="1:9" ht="13.8" thickBot="1" x14ac:dyDescent="0.3">
      <c r="A264" s="3" t="s">
        <v>7</v>
      </c>
      <c r="B264" s="27"/>
      <c r="C264" s="27"/>
      <c r="D264" s="145">
        <f t="shared" ref="D264:D275" si="16">SUM(B264-C264)</f>
        <v>0</v>
      </c>
      <c r="E264" s="2"/>
      <c r="F264" s="3" t="s">
        <v>7</v>
      </c>
      <c r="G264" s="27"/>
      <c r="H264" s="27"/>
      <c r="I264" s="145">
        <f t="shared" ref="I264:I275" si="17">SUM(G264-H264)</f>
        <v>0</v>
      </c>
    </row>
    <row r="265" spans="1:9" ht="13.8" thickBot="1" x14ac:dyDescent="0.3">
      <c r="A265" s="3" t="s">
        <v>8</v>
      </c>
      <c r="B265" s="27"/>
      <c r="C265" s="27"/>
      <c r="D265" s="145">
        <f t="shared" si="16"/>
        <v>0</v>
      </c>
      <c r="E265" s="2"/>
      <c r="F265" s="3" t="s">
        <v>8</v>
      </c>
      <c r="G265" s="27"/>
      <c r="H265" s="27"/>
      <c r="I265" s="145">
        <f t="shared" si="17"/>
        <v>0</v>
      </c>
    </row>
    <row r="266" spans="1:9" ht="13.8" thickBot="1" x14ac:dyDescent="0.3">
      <c r="A266" s="3" t="s">
        <v>9</v>
      </c>
      <c r="B266" s="27"/>
      <c r="C266" s="27"/>
      <c r="D266" s="145">
        <f t="shared" si="16"/>
        <v>0</v>
      </c>
      <c r="E266" s="2"/>
      <c r="F266" s="3" t="s">
        <v>9</v>
      </c>
      <c r="G266" s="27"/>
      <c r="H266" s="27"/>
      <c r="I266" s="145">
        <f t="shared" si="17"/>
        <v>0</v>
      </c>
    </row>
    <row r="267" spans="1:9" ht="13.8" thickBot="1" x14ac:dyDescent="0.3">
      <c r="A267" s="3" t="s">
        <v>10</v>
      </c>
      <c r="B267" s="27"/>
      <c r="C267" s="27"/>
      <c r="D267" s="145">
        <f t="shared" si="16"/>
        <v>0</v>
      </c>
      <c r="E267" s="2"/>
      <c r="F267" s="3" t="s">
        <v>10</v>
      </c>
      <c r="G267" s="27"/>
      <c r="H267" s="27"/>
      <c r="I267" s="145">
        <f t="shared" si="17"/>
        <v>0</v>
      </c>
    </row>
    <row r="268" spans="1:9" ht="13.8" thickBot="1" x14ac:dyDescent="0.3">
      <c r="A268" s="3" t="s">
        <v>11</v>
      </c>
      <c r="B268" s="27"/>
      <c r="C268" s="27"/>
      <c r="D268" s="145">
        <f t="shared" si="16"/>
        <v>0</v>
      </c>
      <c r="E268" s="2"/>
      <c r="F268" s="3" t="s">
        <v>11</v>
      </c>
      <c r="G268" s="27"/>
      <c r="H268" s="27"/>
      <c r="I268" s="145">
        <f t="shared" si="17"/>
        <v>0</v>
      </c>
    </row>
    <row r="269" spans="1:9" ht="13.8" thickBot="1" x14ac:dyDescent="0.3">
      <c r="A269" s="3" t="s">
        <v>12</v>
      </c>
      <c r="B269" s="27"/>
      <c r="C269" s="27"/>
      <c r="D269" s="145">
        <f t="shared" si="16"/>
        <v>0</v>
      </c>
      <c r="E269" s="2"/>
      <c r="F269" s="3" t="s">
        <v>12</v>
      </c>
      <c r="G269" s="27"/>
      <c r="H269" s="27"/>
      <c r="I269" s="145">
        <f t="shared" si="17"/>
        <v>0</v>
      </c>
    </row>
    <row r="270" spans="1:9" ht="13.8" thickBot="1" x14ac:dyDescent="0.3">
      <c r="A270" s="3" t="s">
        <v>13</v>
      </c>
      <c r="B270" s="27"/>
      <c r="C270" s="27"/>
      <c r="D270" s="145">
        <f t="shared" si="16"/>
        <v>0</v>
      </c>
      <c r="E270" s="2"/>
      <c r="F270" s="3" t="s">
        <v>13</v>
      </c>
      <c r="G270" s="27"/>
      <c r="H270" s="27"/>
      <c r="I270" s="145">
        <f t="shared" si="17"/>
        <v>0</v>
      </c>
    </row>
    <row r="271" spans="1:9" ht="13.8" thickBot="1" x14ac:dyDescent="0.3">
      <c r="A271" s="3" t="s">
        <v>14</v>
      </c>
      <c r="B271" s="27"/>
      <c r="C271" s="27"/>
      <c r="D271" s="145">
        <f t="shared" si="16"/>
        <v>0</v>
      </c>
      <c r="E271" s="2"/>
      <c r="F271" s="3" t="s">
        <v>14</v>
      </c>
      <c r="G271" s="27"/>
      <c r="H271" s="27"/>
      <c r="I271" s="145">
        <f t="shared" si="17"/>
        <v>0</v>
      </c>
    </row>
    <row r="272" spans="1:9" ht="13.8" thickBot="1" x14ac:dyDescent="0.3">
      <c r="A272" s="3" t="s">
        <v>15</v>
      </c>
      <c r="B272" s="27"/>
      <c r="C272" s="27"/>
      <c r="D272" s="145">
        <f t="shared" si="16"/>
        <v>0</v>
      </c>
      <c r="E272" s="2"/>
      <c r="F272" s="3" t="s">
        <v>15</v>
      </c>
      <c r="G272" s="27"/>
      <c r="H272" s="27"/>
      <c r="I272" s="145">
        <f t="shared" si="17"/>
        <v>0</v>
      </c>
    </row>
    <row r="273" spans="1:9" ht="13.8" thickBot="1" x14ac:dyDescent="0.3">
      <c r="A273" s="3" t="s">
        <v>16</v>
      </c>
      <c r="B273" s="27"/>
      <c r="C273" s="27"/>
      <c r="D273" s="145">
        <f t="shared" si="16"/>
        <v>0</v>
      </c>
      <c r="E273" s="2"/>
      <c r="F273" s="3" t="s">
        <v>16</v>
      </c>
      <c r="G273" s="27"/>
      <c r="H273" s="27"/>
      <c r="I273" s="145">
        <f t="shared" si="17"/>
        <v>0</v>
      </c>
    </row>
    <row r="274" spans="1:9" ht="13.8" thickBot="1" x14ac:dyDescent="0.3">
      <c r="A274" s="3" t="s">
        <v>17</v>
      </c>
      <c r="B274" s="27"/>
      <c r="C274" s="27"/>
      <c r="D274" s="145">
        <f t="shared" si="16"/>
        <v>0</v>
      </c>
      <c r="E274" s="2"/>
      <c r="F274" s="3" t="s">
        <v>17</v>
      </c>
      <c r="G274" s="27"/>
      <c r="H274" s="27"/>
      <c r="I274" s="145">
        <f t="shared" si="17"/>
        <v>0</v>
      </c>
    </row>
    <row r="275" spans="1:9" ht="13.8" thickBot="1" x14ac:dyDescent="0.3">
      <c r="A275" s="3" t="s">
        <v>18</v>
      </c>
      <c r="B275" s="27"/>
      <c r="C275" s="27"/>
      <c r="D275" s="145">
        <f t="shared" si="16"/>
        <v>0</v>
      </c>
      <c r="E275" s="2"/>
      <c r="F275" s="3" t="s">
        <v>18</v>
      </c>
      <c r="G275" s="27"/>
      <c r="H275" s="27"/>
      <c r="I275" s="145">
        <f t="shared" si="17"/>
        <v>0</v>
      </c>
    </row>
    <row r="276" spans="1:9" ht="13.8" thickBot="1" x14ac:dyDescent="0.3">
      <c r="A276" s="7" t="s">
        <v>19</v>
      </c>
      <c r="B276" s="151">
        <f>SUM(B264:B275)</f>
        <v>0</v>
      </c>
      <c r="C276" s="151">
        <f>SUM(C264:C275)</f>
        <v>0</v>
      </c>
      <c r="D276" s="147">
        <f>SUM(D264:D275)</f>
        <v>0</v>
      </c>
      <c r="E276" s="11"/>
      <c r="F276" s="7" t="s">
        <v>19</v>
      </c>
      <c r="G276" s="151">
        <f>SUM(G264:G275)</f>
        <v>0</v>
      </c>
      <c r="H276" s="151">
        <f>SUM(H264:H275)</f>
        <v>0</v>
      </c>
      <c r="I276" s="151">
        <f>SUM(I264:I275)</f>
        <v>0</v>
      </c>
    </row>
    <row r="277" spans="1:9" x14ac:dyDescent="0.25">
      <c r="A277" s="17"/>
      <c r="B277" s="17"/>
      <c r="C277" s="17"/>
      <c r="D277" s="17"/>
      <c r="E277" s="17"/>
      <c r="F277" s="17"/>
      <c r="G277" s="17"/>
      <c r="H277" s="17"/>
      <c r="I277" s="17"/>
    </row>
    <row r="278" spans="1:9" x14ac:dyDescent="0.25">
      <c r="A278" s="17"/>
      <c r="B278" s="17"/>
      <c r="C278" s="17"/>
      <c r="D278" s="17"/>
      <c r="E278" s="17"/>
      <c r="F278" s="17"/>
      <c r="G278" s="17"/>
      <c r="H278" s="17"/>
      <c r="I278" s="17"/>
    </row>
    <row r="279" spans="1:9" x14ac:dyDescent="0.25">
      <c r="A279" s="17"/>
      <c r="B279" s="17"/>
      <c r="C279" s="17"/>
      <c r="D279" s="17"/>
      <c r="E279" s="17"/>
      <c r="F279" s="17"/>
      <c r="G279" s="17"/>
      <c r="H279" s="17"/>
      <c r="I279" s="17"/>
    </row>
    <row r="280" spans="1:9" ht="13.8" thickBot="1" x14ac:dyDescent="0.3">
      <c r="A280" s="17"/>
      <c r="B280" s="17"/>
      <c r="C280" s="17"/>
      <c r="D280" s="17"/>
      <c r="E280" s="17"/>
      <c r="F280" s="17"/>
      <c r="G280" s="17"/>
      <c r="H280" s="17"/>
      <c r="I280" s="17"/>
    </row>
    <row r="281" spans="1:9" ht="13.8" thickBot="1" x14ac:dyDescent="0.3">
      <c r="A281" s="31" t="s">
        <v>2</v>
      </c>
      <c r="B281" s="31" t="s">
        <v>26</v>
      </c>
      <c r="C281" s="32"/>
      <c r="D281" s="32"/>
      <c r="E281" s="18"/>
      <c r="F281" s="31" t="s">
        <v>2</v>
      </c>
      <c r="G281" s="31" t="s">
        <v>26</v>
      </c>
      <c r="H281" s="32"/>
      <c r="I281" s="32"/>
    </row>
    <row r="282" spans="1:9" ht="13.8" thickBot="1" x14ac:dyDescent="0.3">
      <c r="A282" s="4" t="s">
        <v>3</v>
      </c>
      <c r="B282" s="4" t="s">
        <v>4</v>
      </c>
      <c r="C282" s="4" t="s">
        <v>5</v>
      </c>
      <c r="D282" s="4" t="s">
        <v>6</v>
      </c>
      <c r="E282" s="2"/>
      <c r="F282" s="4" t="s">
        <v>3</v>
      </c>
      <c r="G282" s="4" t="s">
        <v>4</v>
      </c>
      <c r="H282" s="4" t="s">
        <v>5</v>
      </c>
      <c r="I282" s="4" t="s">
        <v>6</v>
      </c>
    </row>
    <row r="283" spans="1:9" ht="13.8" thickBot="1" x14ac:dyDescent="0.3">
      <c r="A283" s="3" t="s">
        <v>7</v>
      </c>
      <c r="B283" s="27"/>
      <c r="C283" s="27"/>
      <c r="D283" s="145">
        <f t="shared" ref="D283:D294" si="18">SUM(B283-C283)</f>
        <v>0</v>
      </c>
      <c r="E283" s="2"/>
      <c r="F283" s="3" t="s">
        <v>7</v>
      </c>
      <c r="G283" s="27"/>
      <c r="H283" s="27"/>
      <c r="I283" s="145">
        <f t="shared" ref="I283:I294" si="19">SUM(G283-H283)</f>
        <v>0</v>
      </c>
    </row>
    <row r="284" spans="1:9" ht="13.8" thickBot="1" x14ac:dyDescent="0.3">
      <c r="A284" s="3" t="s">
        <v>8</v>
      </c>
      <c r="B284" s="27"/>
      <c r="C284" s="27"/>
      <c r="D284" s="145">
        <f t="shared" si="18"/>
        <v>0</v>
      </c>
      <c r="E284" s="2"/>
      <c r="F284" s="3" t="s">
        <v>8</v>
      </c>
      <c r="G284" s="27"/>
      <c r="H284" s="27"/>
      <c r="I284" s="145">
        <f t="shared" si="19"/>
        <v>0</v>
      </c>
    </row>
    <row r="285" spans="1:9" ht="13.8" thickBot="1" x14ac:dyDescent="0.3">
      <c r="A285" s="3" t="s">
        <v>9</v>
      </c>
      <c r="B285" s="27"/>
      <c r="C285" s="27"/>
      <c r="D285" s="145">
        <f t="shared" si="18"/>
        <v>0</v>
      </c>
      <c r="E285" s="2"/>
      <c r="F285" s="3" t="s">
        <v>9</v>
      </c>
      <c r="G285" s="27"/>
      <c r="H285" s="27"/>
      <c r="I285" s="145">
        <f t="shared" si="19"/>
        <v>0</v>
      </c>
    </row>
    <row r="286" spans="1:9" ht="13.8" thickBot="1" x14ac:dyDescent="0.3">
      <c r="A286" s="3" t="s">
        <v>10</v>
      </c>
      <c r="B286" s="27"/>
      <c r="C286" s="27"/>
      <c r="D286" s="145">
        <f t="shared" si="18"/>
        <v>0</v>
      </c>
      <c r="E286" s="2"/>
      <c r="F286" s="3" t="s">
        <v>10</v>
      </c>
      <c r="G286" s="27"/>
      <c r="H286" s="27"/>
      <c r="I286" s="145">
        <f t="shared" si="19"/>
        <v>0</v>
      </c>
    </row>
    <row r="287" spans="1:9" ht="13.8" thickBot="1" x14ac:dyDescent="0.3">
      <c r="A287" s="3" t="s">
        <v>11</v>
      </c>
      <c r="B287" s="27"/>
      <c r="C287" s="27"/>
      <c r="D287" s="145">
        <f t="shared" si="18"/>
        <v>0</v>
      </c>
      <c r="E287" s="2"/>
      <c r="F287" s="3" t="s">
        <v>11</v>
      </c>
      <c r="G287" s="27"/>
      <c r="H287" s="27"/>
      <c r="I287" s="145">
        <f t="shared" si="19"/>
        <v>0</v>
      </c>
    </row>
    <row r="288" spans="1:9" ht="13.8" thickBot="1" x14ac:dyDescent="0.3">
      <c r="A288" s="3" t="s">
        <v>12</v>
      </c>
      <c r="B288" s="27"/>
      <c r="C288" s="27"/>
      <c r="D288" s="145">
        <f t="shared" si="18"/>
        <v>0</v>
      </c>
      <c r="E288" s="2"/>
      <c r="F288" s="3" t="s">
        <v>12</v>
      </c>
      <c r="G288" s="27"/>
      <c r="H288" s="27"/>
      <c r="I288" s="145">
        <f t="shared" si="19"/>
        <v>0</v>
      </c>
    </row>
    <row r="289" spans="1:9" ht="13.8" thickBot="1" x14ac:dyDescent="0.3">
      <c r="A289" s="3" t="s">
        <v>13</v>
      </c>
      <c r="B289" s="27"/>
      <c r="C289" s="27"/>
      <c r="D289" s="145">
        <f t="shared" si="18"/>
        <v>0</v>
      </c>
      <c r="E289" s="2"/>
      <c r="F289" s="3" t="s">
        <v>13</v>
      </c>
      <c r="G289" s="27"/>
      <c r="H289" s="27"/>
      <c r="I289" s="145">
        <f t="shared" si="19"/>
        <v>0</v>
      </c>
    </row>
    <row r="290" spans="1:9" ht="13.8" thickBot="1" x14ac:dyDescent="0.3">
      <c r="A290" s="3" t="s">
        <v>14</v>
      </c>
      <c r="B290" s="27"/>
      <c r="C290" s="27"/>
      <c r="D290" s="145">
        <f t="shared" si="18"/>
        <v>0</v>
      </c>
      <c r="E290" s="2"/>
      <c r="F290" s="3" t="s">
        <v>14</v>
      </c>
      <c r="G290" s="27"/>
      <c r="H290" s="27"/>
      <c r="I290" s="145">
        <f t="shared" si="19"/>
        <v>0</v>
      </c>
    </row>
    <row r="291" spans="1:9" ht="13.8" thickBot="1" x14ac:dyDescent="0.3">
      <c r="A291" s="3" t="s">
        <v>15</v>
      </c>
      <c r="B291" s="27"/>
      <c r="C291" s="27"/>
      <c r="D291" s="145">
        <f t="shared" si="18"/>
        <v>0</v>
      </c>
      <c r="E291" s="2"/>
      <c r="F291" s="3" t="s">
        <v>15</v>
      </c>
      <c r="G291" s="27"/>
      <c r="H291" s="27"/>
      <c r="I291" s="145">
        <f t="shared" si="19"/>
        <v>0</v>
      </c>
    </row>
    <row r="292" spans="1:9" ht="13.8" thickBot="1" x14ac:dyDescent="0.3">
      <c r="A292" s="3" t="s">
        <v>16</v>
      </c>
      <c r="B292" s="27"/>
      <c r="C292" s="27"/>
      <c r="D292" s="145">
        <f t="shared" si="18"/>
        <v>0</v>
      </c>
      <c r="E292" s="2"/>
      <c r="F292" s="3" t="s">
        <v>16</v>
      </c>
      <c r="G292" s="27"/>
      <c r="H292" s="27"/>
      <c r="I292" s="145">
        <f t="shared" si="19"/>
        <v>0</v>
      </c>
    </row>
    <row r="293" spans="1:9" ht="13.8" thickBot="1" x14ac:dyDescent="0.3">
      <c r="A293" s="3" t="s">
        <v>17</v>
      </c>
      <c r="B293" s="27"/>
      <c r="C293" s="27"/>
      <c r="D293" s="145">
        <f t="shared" si="18"/>
        <v>0</v>
      </c>
      <c r="E293" s="2"/>
      <c r="F293" s="3" t="s">
        <v>17</v>
      </c>
      <c r="G293" s="27"/>
      <c r="H293" s="27"/>
      <c r="I293" s="145">
        <f t="shared" si="19"/>
        <v>0</v>
      </c>
    </row>
    <row r="294" spans="1:9" ht="13.8" thickBot="1" x14ac:dyDescent="0.3">
      <c r="A294" s="3" t="s">
        <v>18</v>
      </c>
      <c r="B294" s="27"/>
      <c r="C294" s="27"/>
      <c r="D294" s="145">
        <f t="shared" si="18"/>
        <v>0</v>
      </c>
      <c r="E294" s="2"/>
      <c r="F294" s="3" t="s">
        <v>18</v>
      </c>
      <c r="G294" s="27"/>
      <c r="H294" s="27"/>
      <c r="I294" s="145">
        <f t="shared" si="19"/>
        <v>0</v>
      </c>
    </row>
    <row r="295" spans="1:9" ht="13.8" thickBot="1" x14ac:dyDescent="0.3">
      <c r="A295" s="7" t="s">
        <v>19</v>
      </c>
      <c r="B295" s="151">
        <f>SUM(B283:B294)</f>
        <v>0</v>
      </c>
      <c r="C295" s="151">
        <f>SUM(C283:C294)</f>
        <v>0</v>
      </c>
      <c r="D295" s="151">
        <f>SUM(D283:D294)</f>
        <v>0</v>
      </c>
      <c r="E295" s="11"/>
      <c r="F295" s="7" t="s">
        <v>19</v>
      </c>
      <c r="G295" s="151">
        <f>SUM(G283:G294)</f>
        <v>0</v>
      </c>
      <c r="H295" s="151">
        <f>SUM(H283:H294)</f>
        <v>0</v>
      </c>
      <c r="I295" s="151">
        <f>SUM(I283:I294)</f>
        <v>0</v>
      </c>
    </row>
    <row r="296" spans="1:9" x14ac:dyDescent="0.25">
      <c r="A296" s="17"/>
      <c r="B296" s="17"/>
      <c r="C296" s="17"/>
      <c r="D296" s="17"/>
      <c r="E296" s="17"/>
      <c r="F296" s="17"/>
      <c r="G296" s="17"/>
      <c r="H296" s="17"/>
      <c r="I296" s="17"/>
    </row>
    <row r="297" spans="1:9" x14ac:dyDescent="0.25">
      <c r="A297" s="17"/>
      <c r="B297" s="17"/>
      <c r="C297" s="17"/>
      <c r="D297" s="17"/>
      <c r="E297" s="17"/>
      <c r="F297" s="17"/>
      <c r="G297" s="17"/>
      <c r="H297" s="17"/>
      <c r="I297" s="17"/>
    </row>
    <row r="298" spans="1:9" x14ac:dyDescent="0.25">
      <c r="A298" s="17"/>
      <c r="B298" s="17"/>
      <c r="C298" s="17"/>
      <c r="D298" s="17"/>
      <c r="E298" s="17"/>
      <c r="F298" s="17"/>
      <c r="G298" s="17"/>
      <c r="H298" s="17"/>
      <c r="I298" s="17"/>
    </row>
    <row r="299" spans="1:9" x14ac:dyDescent="0.25">
      <c r="A299" s="17"/>
      <c r="B299" s="17"/>
      <c r="C299" s="17"/>
      <c r="D299" s="17"/>
      <c r="E299" s="17"/>
      <c r="F299" s="17"/>
      <c r="G299" s="17"/>
      <c r="H299" s="17"/>
      <c r="I299" s="17"/>
    </row>
    <row r="300" spans="1:9" x14ac:dyDescent="0.25">
      <c r="A300" s="18"/>
      <c r="B300" s="21"/>
      <c r="C300" s="21"/>
      <c r="D300" s="21"/>
      <c r="E300" s="18"/>
      <c r="F300" s="18"/>
      <c r="G300" s="18"/>
      <c r="H300" s="21" t="s">
        <v>25</v>
      </c>
      <c r="I300" s="149">
        <f>SUM($D$295+$I$295+$D$276+$I$276)</f>
        <v>0</v>
      </c>
    </row>
    <row r="301" spans="1:9" x14ac:dyDescent="0.25">
      <c r="A301" s="18"/>
      <c r="B301" s="18"/>
      <c r="C301" s="18"/>
      <c r="D301" s="18"/>
      <c r="E301" s="18"/>
      <c r="F301" s="18"/>
      <c r="G301" s="18"/>
      <c r="H301" s="18"/>
      <c r="I301" s="18"/>
    </row>
    <row r="302" spans="1:9" x14ac:dyDescent="0.25">
      <c r="A302" s="18"/>
      <c r="B302" s="18"/>
      <c r="C302" s="18"/>
      <c r="D302" s="18"/>
      <c r="E302" s="18"/>
      <c r="F302" s="18"/>
      <c r="G302" s="18"/>
      <c r="H302" s="18"/>
      <c r="I302" s="18"/>
    </row>
    <row r="303" spans="1:9" x14ac:dyDescent="0.25">
      <c r="A303" s="17"/>
      <c r="B303" s="17"/>
      <c r="C303" s="17"/>
      <c r="D303" s="17"/>
      <c r="E303" s="17"/>
      <c r="F303" s="17"/>
      <c r="G303" s="17"/>
      <c r="H303" s="17"/>
      <c r="I303" s="17"/>
    </row>
    <row r="304" spans="1:9" x14ac:dyDescent="0.25">
      <c r="A304" s="17"/>
      <c r="B304" s="17"/>
      <c r="C304" s="17"/>
      <c r="D304" s="17"/>
      <c r="E304" s="17"/>
      <c r="F304" s="17"/>
      <c r="G304" s="17"/>
      <c r="H304" s="17"/>
      <c r="I304" s="17"/>
    </row>
    <row r="305" spans="1:9" x14ac:dyDescent="0.25">
      <c r="A305" s="18"/>
      <c r="B305" s="21" t="s">
        <v>0</v>
      </c>
      <c r="C305" s="148" t="str">
        <f>C3</f>
        <v xml:space="preserve"> </v>
      </c>
      <c r="D305" s="19"/>
      <c r="E305" s="18"/>
      <c r="F305" s="18"/>
      <c r="G305" s="6" t="s">
        <v>53</v>
      </c>
      <c r="H305" s="148" t="str">
        <f>$G$3</f>
        <v xml:space="preserve"> </v>
      </c>
      <c r="I305" s="19"/>
    </row>
    <row r="306" spans="1:9" x14ac:dyDescent="0.25">
      <c r="A306" s="18"/>
      <c r="B306" s="21" t="s">
        <v>1</v>
      </c>
      <c r="C306" s="148" t="str">
        <f>C4</f>
        <v xml:space="preserve"> </v>
      </c>
      <c r="D306" s="19"/>
      <c r="E306" s="18"/>
      <c r="F306" s="18"/>
      <c r="G306" s="21" t="s">
        <v>26</v>
      </c>
      <c r="H306" s="19" t="s">
        <v>26</v>
      </c>
      <c r="I306" s="19"/>
    </row>
    <row r="307" spans="1:9" x14ac:dyDescent="0.25">
      <c r="A307" s="18"/>
      <c r="B307" s="18"/>
      <c r="C307" s="18"/>
      <c r="D307" s="18"/>
      <c r="E307" s="18"/>
      <c r="F307" s="18"/>
      <c r="G307" s="18"/>
      <c r="H307" s="18"/>
      <c r="I307" s="18"/>
    </row>
    <row r="308" spans="1:9" x14ac:dyDescent="0.25">
      <c r="A308" s="18"/>
      <c r="B308" s="21" t="s">
        <v>26</v>
      </c>
      <c r="C308" s="30" t="s">
        <v>26</v>
      </c>
      <c r="D308" s="18"/>
      <c r="E308" s="18"/>
      <c r="F308" s="18"/>
      <c r="G308" s="18"/>
      <c r="H308" s="18"/>
      <c r="I308" s="18"/>
    </row>
    <row r="309" spans="1:9" x14ac:dyDescent="0.25">
      <c r="A309" s="18"/>
      <c r="B309" s="21" t="s">
        <v>26</v>
      </c>
      <c r="C309" s="20" t="s">
        <v>26</v>
      </c>
      <c r="D309" s="18"/>
      <c r="E309" s="18"/>
      <c r="F309" s="18"/>
      <c r="G309" s="18"/>
      <c r="H309" s="18"/>
      <c r="I309" s="18"/>
    </row>
    <row r="310" spans="1:9" ht="13.8" thickBot="1" x14ac:dyDescent="0.3">
      <c r="A310" s="18"/>
      <c r="B310" s="18"/>
      <c r="C310" s="18"/>
      <c r="D310" s="18"/>
      <c r="E310" s="18"/>
      <c r="F310" s="18"/>
      <c r="G310" s="18"/>
      <c r="H310" s="18"/>
      <c r="I310" s="18"/>
    </row>
    <row r="311" spans="1:9" ht="13.8" thickBot="1" x14ac:dyDescent="0.3">
      <c r="A311" s="31" t="s">
        <v>2</v>
      </c>
      <c r="B311" s="31" t="s">
        <v>26</v>
      </c>
      <c r="C311" s="32"/>
      <c r="D311" s="32"/>
      <c r="E311" s="18"/>
      <c r="F311" s="31" t="s">
        <v>2</v>
      </c>
      <c r="G311" s="31" t="s">
        <v>26</v>
      </c>
      <c r="H311" s="32"/>
      <c r="I311" s="32"/>
    </row>
    <row r="312" spans="1:9" ht="13.8" thickBot="1" x14ac:dyDescent="0.3">
      <c r="A312" s="4" t="s">
        <v>3</v>
      </c>
      <c r="B312" s="4" t="s">
        <v>4</v>
      </c>
      <c r="C312" s="4" t="s">
        <v>5</v>
      </c>
      <c r="D312" s="4" t="s">
        <v>6</v>
      </c>
      <c r="E312" s="1"/>
      <c r="F312" s="4" t="s">
        <v>3</v>
      </c>
      <c r="G312" s="4" t="s">
        <v>4</v>
      </c>
      <c r="H312" s="4" t="s">
        <v>5</v>
      </c>
      <c r="I312" s="4" t="s">
        <v>6</v>
      </c>
    </row>
    <row r="313" spans="1:9" ht="13.8" thickBot="1" x14ac:dyDescent="0.3">
      <c r="A313" s="3" t="s">
        <v>7</v>
      </c>
      <c r="B313" s="27"/>
      <c r="C313" s="27"/>
      <c r="D313" s="145">
        <f t="shared" ref="D313:D324" si="20">SUM(B313-C313)</f>
        <v>0</v>
      </c>
      <c r="E313" s="2"/>
      <c r="F313" s="3" t="s">
        <v>7</v>
      </c>
      <c r="G313" s="27"/>
      <c r="H313" s="27"/>
      <c r="I313" s="145">
        <f t="shared" ref="I313:I324" si="21">SUM(G313-H313)</f>
        <v>0</v>
      </c>
    </row>
    <row r="314" spans="1:9" ht="13.8" thickBot="1" x14ac:dyDescent="0.3">
      <c r="A314" s="3" t="s">
        <v>8</v>
      </c>
      <c r="B314" s="27"/>
      <c r="C314" s="27"/>
      <c r="D314" s="145">
        <f t="shared" si="20"/>
        <v>0</v>
      </c>
      <c r="E314" s="2"/>
      <c r="F314" s="3" t="s">
        <v>8</v>
      </c>
      <c r="G314" s="27"/>
      <c r="H314" s="27"/>
      <c r="I314" s="145">
        <f t="shared" si="21"/>
        <v>0</v>
      </c>
    </row>
    <row r="315" spans="1:9" ht="13.8" thickBot="1" x14ac:dyDescent="0.3">
      <c r="A315" s="3" t="s">
        <v>9</v>
      </c>
      <c r="B315" s="27"/>
      <c r="C315" s="27"/>
      <c r="D315" s="145">
        <f t="shared" si="20"/>
        <v>0</v>
      </c>
      <c r="E315" s="2"/>
      <c r="F315" s="3" t="s">
        <v>9</v>
      </c>
      <c r="G315" s="27"/>
      <c r="H315" s="27"/>
      <c r="I315" s="145">
        <f t="shared" si="21"/>
        <v>0</v>
      </c>
    </row>
    <row r="316" spans="1:9" ht="13.8" thickBot="1" x14ac:dyDescent="0.3">
      <c r="A316" s="3" t="s">
        <v>10</v>
      </c>
      <c r="B316" s="27"/>
      <c r="C316" s="27"/>
      <c r="D316" s="145">
        <f t="shared" si="20"/>
        <v>0</v>
      </c>
      <c r="E316" s="2"/>
      <c r="F316" s="3" t="s">
        <v>10</v>
      </c>
      <c r="G316" s="27"/>
      <c r="H316" s="27"/>
      <c r="I316" s="145">
        <f t="shared" si="21"/>
        <v>0</v>
      </c>
    </row>
    <row r="317" spans="1:9" ht="13.8" thickBot="1" x14ac:dyDescent="0.3">
      <c r="A317" s="3" t="s">
        <v>11</v>
      </c>
      <c r="B317" s="27"/>
      <c r="C317" s="27"/>
      <c r="D317" s="145">
        <f t="shared" si="20"/>
        <v>0</v>
      </c>
      <c r="E317" s="2"/>
      <c r="F317" s="3" t="s">
        <v>11</v>
      </c>
      <c r="G317" s="27"/>
      <c r="H317" s="27"/>
      <c r="I317" s="145">
        <f t="shared" si="21"/>
        <v>0</v>
      </c>
    </row>
    <row r="318" spans="1:9" ht="13.8" thickBot="1" x14ac:dyDescent="0.3">
      <c r="A318" s="3" t="s">
        <v>12</v>
      </c>
      <c r="B318" s="27"/>
      <c r="C318" s="27"/>
      <c r="D318" s="145">
        <f t="shared" si="20"/>
        <v>0</v>
      </c>
      <c r="E318" s="2"/>
      <c r="F318" s="3" t="s">
        <v>12</v>
      </c>
      <c r="G318" s="27"/>
      <c r="H318" s="27"/>
      <c r="I318" s="145">
        <f t="shared" si="21"/>
        <v>0</v>
      </c>
    </row>
    <row r="319" spans="1:9" ht="13.8" thickBot="1" x14ac:dyDescent="0.3">
      <c r="A319" s="3" t="s">
        <v>13</v>
      </c>
      <c r="B319" s="27"/>
      <c r="C319" s="27"/>
      <c r="D319" s="145">
        <f t="shared" si="20"/>
        <v>0</v>
      </c>
      <c r="E319" s="2"/>
      <c r="F319" s="3" t="s">
        <v>13</v>
      </c>
      <c r="G319" s="27"/>
      <c r="H319" s="27"/>
      <c r="I319" s="145">
        <f t="shared" si="21"/>
        <v>0</v>
      </c>
    </row>
    <row r="320" spans="1:9" ht="13.8" thickBot="1" x14ac:dyDescent="0.3">
      <c r="A320" s="3" t="s">
        <v>14</v>
      </c>
      <c r="B320" s="27"/>
      <c r="C320" s="27"/>
      <c r="D320" s="145">
        <f t="shared" si="20"/>
        <v>0</v>
      </c>
      <c r="E320" s="2"/>
      <c r="F320" s="3" t="s">
        <v>14</v>
      </c>
      <c r="G320" s="27"/>
      <c r="H320" s="27"/>
      <c r="I320" s="145">
        <f t="shared" si="21"/>
        <v>0</v>
      </c>
    </row>
    <row r="321" spans="1:9" ht="13.8" thickBot="1" x14ac:dyDescent="0.3">
      <c r="A321" s="3" t="s">
        <v>15</v>
      </c>
      <c r="B321" s="27"/>
      <c r="C321" s="27"/>
      <c r="D321" s="145">
        <f t="shared" si="20"/>
        <v>0</v>
      </c>
      <c r="E321" s="2"/>
      <c r="F321" s="3" t="s">
        <v>15</v>
      </c>
      <c r="G321" s="27"/>
      <c r="H321" s="27"/>
      <c r="I321" s="145">
        <f t="shared" si="21"/>
        <v>0</v>
      </c>
    </row>
    <row r="322" spans="1:9" ht="13.8" thickBot="1" x14ac:dyDescent="0.3">
      <c r="A322" s="3" t="s">
        <v>16</v>
      </c>
      <c r="B322" s="27"/>
      <c r="C322" s="27"/>
      <c r="D322" s="145">
        <f t="shared" si="20"/>
        <v>0</v>
      </c>
      <c r="E322" s="2"/>
      <c r="F322" s="3" t="s">
        <v>16</v>
      </c>
      <c r="G322" s="27"/>
      <c r="H322" s="27"/>
      <c r="I322" s="145">
        <f t="shared" si="21"/>
        <v>0</v>
      </c>
    </row>
    <row r="323" spans="1:9" ht="13.8" thickBot="1" x14ac:dyDescent="0.3">
      <c r="A323" s="3" t="s">
        <v>17</v>
      </c>
      <c r="B323" s="27"/>
      <c r="C323" s="27"/>
      <c r="D323" s="145">
        <f t="shared" si="20"/>
        <v>0</v>
      </c>
      <c r="E323" s="2"/>
      <c r="F323" s="3" t="s">
        <v>17</v>
      </c>
      <c r="G323" s="27"/>
      <c r="H323" s="27"/>
      <c r="I323" s="145">
        <f t="shared" si="21"/>
        <v>0</v>
      </c>
    </row>
    <row r="324" spans="1:9" ht="13.8" thickBot="1" x14ac:dyDescent="0.3">
      <c r="A324" s="3" t="s">
        <v>18</v>
      </c>
      <c r="B324" s="27"/>
      <c r="C324" s="27"/>
      <c r="D324" s="145">
        <f t="shared" si="20"/>
        <v>0</v>
      </c>
      <c r="E324" s="2"/>
      <c r="F324" s="3" t="s">
        <v>18</v>
      </c>
      <c r="G324" s="27"/>
      <c r="H324" s="27"/>
      <c r="I324" s="145">
        <f t="shared" si="21"/>
        <v>0</v>
      </c>
    </row>
    <row r="325" spans="1:9" ht="13.8" thickBot="1" x14ac:dyDescent="0.3">
      <c r="A325" s="7" t="s">
        <v>19</v>
      </c>
      <c r="B325" s="151">
        <f>SUM(B313:B324)</f>
        <v>0</v>
      </c>
      <c r="C325" s="151">
        <f>SUM(C313:C324)</f>
        <v>0</v>
      </c>
      <c r="D325" s="151">
        <f>SUM(D313:D324)</f>
        <v>0</v>
      </c>
      <c r="E325" s="11"/>
      <c r="F325" s="7" t="s">
        <v>19</v>
      </c>
      <c r="G325" s="151">
        <f>SUM(G313:G324)</f>
        <v>0</v>
      </c>
      <c r="H325" s="151">
        <f>SUM(H313:H324)</f>
        <v>0</v>
      </c>
      <c r="I325" s="151">
        <f>SUM(I313:I324)</f>
        <v>0</v>
      </c>
    </row>
    <row r="326" spans="1:9" x14ac:dyDescent="0.25">
      <c r="A326" s="17"/>
      <c r="B326" s="17"/>
      <c r="C326" s="17"/>
      <c r="D326" s="17"/>
      <c r="E326" s="17"/>
      <c r="F326" s="17"/>
      <c r="G326" s="17"/>
      <c r="H326" s="17"/>
      <c r="I326" s="17"/>
    </row>
    <row r="327" spans="1:9" x14ac:dyDescent="0.25">
      <c r="A327" s="17"/>
      <c r="B327" s="17"/>
      <c r="C327" s="17"/>
      <c r="D327" s="17"/>
      <c r="E327" s="17"/>
      <c r="F327" s="17"/>
      <c r="G327" s="17"/>
      <c r="H327" s="17"/>
      <c r="I327" s="17"/>
    </row>
    <row r="328" spans="1:9" x14ac:dyDescent="0.25">
      <c r="A328" s="17"/>
      <c r="B328" s="17"/>
      <c r="C328" s="17"/>
      <c r="D328" s="17"/>
      <c r="E328" s="17"/>
      <c r="F328" s="17"/>
      <c r="G328" s="17"/>
      <c r="H328" s="17"/>
      <c r="I328" s="17"/>
    </row>
    <row r="329" spans="1:9" ht="13.8" thickBot="1" x14ac:dyDescent="0.3">
      <c r="A329" s="17"/>
      <c r="B329" s="17"/>
      <c r="C329" s="17"/>
      <c r="D329" s="17"/>
      <c r="E329" s="17"/>
      <c r="F329" s="17"/>
      <c r="G329" s="17"/>
      <c r="H329" s="17"/>
      <c r="I329" s="17"/>
    </row>
    <row r="330" spans="1:9" ht="13.8" thickBot="1" x14ac:dyDescent="0.3">
      <c r="A330" s="4" t="s">
        <v>2</v>
      </c>
      <c r="B330" s="31" t="s">
        <v>26</v>
      </c>
      <c r="C330" s="3"/>
      <c r="D330" s="3"/>
      <c r="E330" s="2"/>
      <c r="F330" s="4" t="s">
        <v>2</v>
      </c>
      <c r="G330" s="31" t="s">
        <v>26</v>
      </c>
      <c r="H330" s="3"/>
      <c r="I330" s="3"/>
    </row>
    <row r="331" spans="1:9" ht="13.8" thickBot="1" x14ac:dyDescent="0.3">
      <c r="A331" s="4" t="s">
        <v>3</v>
      </c>
      <c r="B331" s="4" t="s">
        <v>4</v>
      </c>
      <c r="C331" s="4" t="s">
        <v>5</v>
      </c>
      <c r="D331" s="4" t="s">
        <v>6</v>
      </c>
      <c r="E331" s="2"/>
      <c r="F331" s="4" t="s">
        <v>3</v>
      </c>
      <c r="G331" s="4" t="s">
        <v>4</v>
      </c>
      <c r="H331" s="4" t="s">
        <v>5</v>
      </c>
      <c r="I331" s="4" t="s">
        <v>6</v>
      </c>
    </row>
    <row r="332" spans="1:9" ht="13.8" thickBot="1" x14ac:dyDescent="0.3">
      <c r="A332" s="3" t="s">
        <v>7</v>
      </c>
      <c r="B332" s="27"/>
      <c r="C332" s="27"/>
      <c r="D332" s="145">
        <f t="shared" ref="D332:D343" si="22">SUM(B332-C332)</f>
        <v>0</v>
      </c>
      <c r="E332" s="2"/>
      <c r="F332" s="3" t="s">
        <v>7</v>
      </c>
      <c r="G332" s="27"/>
      <c r="H332" s="27"/>
      <c r="I332" s="145">
        <f t="shared" ref="I332:I343" si="23">SUM(G332-H332)</f>
        <v>0</v>
      </c>
    </row>
    <row r="333" spans="1:9" ht="13.8" thickBot="1" x14ac:dyDescent="0.3">
      <c r="A333" s="3" t="s">
        <v>8</v>
      </c>
      <c r="B333" s="27"/>
      <c r="C333" s="27"/>
      <c r="D333" s="145">
        <f t="shared" si="22"/>
        <v>0</v>
      </c>
      <c r="E333" s="2"/>
      <c r="F333" s="3" t="s">
        <v>8</v>
      </c>
      <c r="G333" s="27"/>
      <c r="H333" s="27"/>
      <c r="I333" s="145">
        <f t="shared" si="23"/>
        <v>0</v>
      </c>
    </row>
    <row r="334" spans="1:9" ht="13.8" thickBot="1" x14ac:dyDescent="0.3">
      <c r="A334" s="3" t="s">
        <v>9</v>
      </c>
      <c r="B334" s="27"/>
      <c r="C334" s="27"/>
      <c r="D334" s="145">
        <f t="shared" si="22"/>
        <v>0</v>
      </c>
      <c r="E334" s="2"/>
      <c r="F334" s="3" t="s">
        <v>9</v>
      </c>
      <c r="G334" s="27"/>
      <c r="H334" s="27"/>
      <c r="I334" s="145">
        <f t="shared" si="23"/>
        <v>0</v>
      </c>
    </row>
    <row r="335" spans="1:9" ht="13.8" thickBot="1" x14ac:dyDescent="0.3">
      <c r="A335" s="3" t="s">
        <v>10</v>
      </c>
      <c r="B335" s="27"/>
      <c r="C335" s="27"/>
      <c r="D335" s="145">
        <f t="shared" si="22"/>
        <v>0</v>
      </c>
      <c r="E335" s="2"/>
      <c r="F335" s="3" t="s">
        <v>10</v>
      </c>
      <c r="G335" s="27"/>
      <c r="H335" s="27"/>
      <c r="I335" s="145">
        <f t="shared" si="23"/>
        <v>0</v>
      </c>
    </row>
    <row r="336" spans="1:9" ht="13.8" thickBot="1" x14ac:dyDescent="0.3">
      <c r="A336" s="3" t="s">
        <v>11</v>
      </c>
      <c r="B336" s="27"/>
      <c r="C336" s="27"/>
      <c r="D336" s="145">
        <f t="shared" si="22"/>
        <v>0</v>
      </c>
      <c r="E336" s="2"/>
      <c r="F336" s="3" t="s">
        <v>11</v>
      </c>
      <c r="G336" s="27"/>
      <c r="H336" s="27"/>
      <c r="I336" s="145">
        <f t="shared" si="23"/>
        <v>0</v>
      </c>
    </row>
    <row r="337" spans="1:9" ht="13.8" thickBot="1" x14ac:dyDescent="0.3">
      <c r="A337" s="3" t="s">
        <v>12</v>
      </c>
      <c r="B337" s="27"/>
      <c r="C337" s="27"/>
      <c r="D337" s="145">
        <f t="shared" si="22"/>
        <v>0</v>
      </c>
      <c r="E337" s="2"/>
      <c r="F337" s="3" t="s">
        <v>12</v>
      </c>
      <c r="G337" s="27"/>
      <c r="H337" s="27"/>
      <c r="I337" s="145">
        <f t="shared" si="23"/>
        <v>0</v>
      </c>
    </row>
    <row r="338" spans="1:9" ht="13.8" thickBot="1" x14ac:dyDescent="0.3">
      <c r="A338" s="3" t="s">
        <v>13</v>
      </c>
      <c r="B338" s="27"/>
      <c r="C338" s="27"/>
      <c r="D338" s="145">
        <f t="shared" si="22"/>
        <v>0</v>
      </c>
      <c r="E338" s="2"/>
      <c r="F338" s="3" t="s">
        <v>13</v>
      </c>
      <c r="G338" s="27"/>
      <c r="H338" s="27"/>
      <c r="I338" s="145">
        <f t="shared" si="23"/>
        <v>0</v>
      </c>
    </row>
    <row r="339" spans="1:9" ht="13.8" thickBot="1" x14ac:dyDescent="0.3">
      <c r="A339" s="3" t="s">
        <v>14</v>
      </c>
      <c r="B339" s="27"/>
      <c r="C339" s="27"/>
      <c r="D339" s="145">
        <f t="shared" si="22"/>
        <v>0</v>
      </c>
      <c r="E339" s="2"/>
      <c r="F339" s="3" t="s">
        <v>14</v>
      </c>
      <c r="G339" s="27"/>
      <c r="H339" s="27"/>
      <c r="I339" s="145">
        <f t="shared" si="23"/>
        <v>0</v>
      </c>
    </row>
    <row r="340" spans="1:9" ht="13.8" thickBot="1" x14ac:dyDescent="0.3">
      <c r="A340" s="3" t="s">
        <v>15</v>
      </c>
      <c r="B340" s="27"/>
      <c r="C340" s="27"/>
      <c r="D340" s="145">
        <f t="shared" si="22"/>
        <v>0</v>
      </c>
      <c r="E340" s="2"/>
      <c r="F340" s="3" t="s">
        <v>15</v>
      </c>
      <c r="G340" s="27"/>
      <c r="H340" s="27"/>
      <c r="I340" s="145">
        <f t="shared" si="23"/>
        <v>0</v>
      </c>
    </row>
    <row r="341" spans="1:9" ht="13.8" thickBot="1" x14ac:dyDescent="0.3">
      <c r="A341" s="3" t="s">
        <v>16</v>
      </c>
      <c r="B341" s="27"/>
      <c r="C341" s="27"/>
      <c r="D341" s="145">
        <f t="shared" si="22"/>
        <v>0</v>
      </c>
      <c r="E341" s="2"/>
      <c r="F341" s="3" t="s">
        <v>16</v>
      </c>
      <c r="G341" s="27"/>
      <c r="H341" s="27"/>
      <c r="I341" s="145">
        <f t="shared" si="23"/>
        <v>0</v>
      </c>
    </row>
    <row r="342" spans="1:9" ht="13.8" thickBot="1" x14ac:dyDescent="0.3">
      <c r="A342" s="3" t="s">
        <v>17</v>
      </c>
      <c r="B342" s="27"/>
      <c r="C342" s="27"/>
      <c r="D342" s="145">
        <f t="shared" si="22"/>
        <v>0</v>
      </c>
      <c r="E342" s="2"/>
      <c r="F342" s="3" t="s">
        <v>17</v>
      </c>
      <c r="G342" s="27"/>
      <c r="H342" s="27"/>
      <c r="I342" s="145">
        <f t="shared" si="23"/>
        <v>0</v>
      </c>
    </row>
    <row r="343" spans="1:9" ht="13.8" thickBot="1" x14ac:dyDescent="0.3">
      <c r="A343" s="3" t="s">
        <v>18</v>
      </c>
      <c r="B343" s="27"/>
      <c r="C343" s="27"/>
      <c r="D343" s="145">
        <f t="shared" si="22"/>
        <v>0</v>
      </c>
      <c r="E343" s="2"/>
      <c r="F343" s="3" t="s">
        <v>18</v>
      </c>
      <c r="G343" s="27"/>
      <c r="H343" s="27"/>
      <c r="I343" s="145">
        <f t="shared" si="23"/>
        <v>0</v>
      </c>
    </row>
    <row r="344" spans="1:9" ht="13.8" thickBot="1" x14ac:dyDescent="0.3">
      <c r="A344" s="33" t="s">
        <v>19</v>
      </c>
      <c r="B344" s="151">
        <f>SUM(B332:B343)</f>
        <v>0</v>
      </c>
      <c r="C344" s="151">
        <f>SUM(C332:C343)</f>
        <v>0</v>
      </c>
      <c r="D344" s="151">
        <f>SUM(D332:D343)</f>
        <v>0</v>
      </c>
      <c r="E344" s="34"/>
      <c r="F344" s="33" t="s">
        <v>19</v>
      </c>
      <c r="G344" s="151">
        <f>SUM(G332:G343)</f>
        <v>0</v>
      </c>
      <c r="H344" s="151">
        <f>SUM(H332:H343)</f>
        <v>0</v>
      </c>
      <c r="I344" s="150">
        <f>SUM(I332:I343)</f>
        <v>0</v>
      </c>
    </row>
    <row r="345" spans="1:9" x14ac:dyDescent="0.25">
      <c r="A345" s="17"/>
      <c r="B345" s="17"/>
      <c r="C345" s="17"/>
      <c r="D345" s="17"/>
      <c r="E345" s="17"/>
      <c r="F345" s="17"/>
      <c r="G345" s="17"/>
      <c r="H345" s="17"/>
      <c r="I345" s="17"/>
    </row>
    <row r="346" spans="1:9" x14ac:dyDescent="0.25">
      <c r="A346" s="17"/>
      <c r="B346" s="17"/>
      <c r="C346" s="17"/>
      <c r="D346" s="17"/>
      <c r="E346" s="17"/>
      <c r="F346" s="17"/>
      <c r="G346" s="17"/>
      <c r="H346" s="17"/>
      <c r="I346" s="17"/>
    </row>
    <row r="347" spans="1:9" x14ac:dyDescent="0.25">
      <c r="A347" s="17"/>
      <c r="B347" s="17"/>
      <c r="C347" s="17"/>
      <c r="D347" s="17"/>
      <c r="E347" s="17"/>
      <c r="F347" s="17"/>
      <c r="G347" s="17"/>
      <c r="H347" s="17"/>
      <c r="I347" s="17"/>
    </row>
    <row r="348" spans="1:9" x14ac:dyDescent="0.25">
      <c r="A348" s="17"/>
      <c r="B348" s="17"/>
      <c r="C348" s="17"/>
      <c r="D348" s="17"/>
      <c r="E348" s="17"/>
      <c r="F348" s="17"/>
      <c r="G348" s="17"/>
      <c r="H348" s="17"/>
      <c r="I348" s="17"/>
    </row>
    <row r="349" spans="1:9" x14ac:dyDescent="0.25">
      <c r="A349" s="18"/>
      <c r="B349" s="21"/>
      <c r="C349" s="21"/>
      <c r="D349" s="21"/>
      <c r="E349" s="18"/>
      <c r="F349" s="18"/>
      <c r="G349" s="18"/>
      <c r="H349" s="21" t="s">
        <v>25</v>
      </c>
      <c r="I349" s="149">
        <f>SUM($D$344+$I$344+$D$325+$I$325)</f>
        <v>0</v>
      </c>
    </row>
    <row r="350" spans="1:9" x14ac:dyDescent="0.25">
      <c r="A350" s="18"/>
      <c r="B350" s="18"/>
      <c r="C350" s="18"/>
      <c r="D350" s="18"/>
      <c r="E350" s="18"/>
      <c r="F350" s="18"/>
      <c r="G350" s="18"/>
      <c r="H350" s="18"/>
      <c r="I350" s="18"/>
    </row>
    <row r="351" spans="1:9" x14ac:dyDescent="0.25">
      <c r="A351" s="18"/>
      <c r="B351" s="18"/>
      <c r="C351" s="18"/>
      <c r="D351" s="18"/>
      <c r="E351" s="18"/>
      <c r="F351" s="18"/>
      <c r="G351" s="18"/>
      <c r="H351" s="18"/>
      <c r="I351" s="18"/>
    </row>
    <row r="352" spans="1:9" x14ac:dyDescent="0.25">
      <c r="A352" s="18"/>
      <c r="B352" s="18"/>
      <c r="C352" s="18"/>
      <c r="D352" s="18"/>
      <c r="E352" s="18"/>
      <c r="F352" s="18"/>
      <c r="G352" s="18"/>
      <c r="H352" s="18"/>
      <c r="I352" s="18"/>
    </row>
    <row r="353" spans="1:9" x14ac:dyDescent="0.25">
      <c r="A353" s="18"/>
      <c r="B353" s="18"/>
      <c r="C353" s="18"/>
      <c r="D353" s="18"/>
      <c r="E353" s="18"/>
      <c r="F353" s="18"/>
      <c r="G353" s="18"/>
      <c r="H353" s="18"/>
      <c r="I353" s="18"/>
    </row>
    <row r="354" spans="1:9" x14ac:dyDescent="0.25">
      <c r="A354" s="18"/>
      <c r="B354" s="18"/>
      <c r="C354" s="18"/>
      <c r="D354" s="18"/>
      <c r="E354" s="18"/>
      <c r="F354" s="18"/>
      <c r="G354" s="18"/>
      <c r="H354" s="18"/>
      <c r="I354" s="18"/>
    </row>
    <row r="355" spans="1:9" x14ac:dyDescent="0.25">
      <c r="A355" s="18"/>
      <c r="B355" s="18"/>
      <c r="C355" s="18"/>
      <c r="D355" s="18"/>
      <c r="E355" s="18"/>
      <c r="F355" s="18"/>
      <c r="G355" s="18"/>
      <c r="H355" s="18"/>
      <c r="I355" s="18"/>
    </row>
    <row r="356" spans="1:9" x14ac:dyDescent="0.25">
      <c r="A356" s="18"/>
      <c r="B356" s="18"/>
      <c r="C356" s="18"/>
      <c r="D356" s="18"/>
      <c r="E356" s="18"/>
      <c r="F356" s="18"/>
      <c r="G356" s="18"/>
      <c r="H356" s="18"/>
      <c r="I356" s="18"/>
    </row>
    <row r="357" spans="1:9" x14ac:dyDescent="0.25">
      <c r="A357" s="17"/>
      <c r="B357" s="17"/>
      <c r="C357" s="17"/>
      <c r="D357" s="17"/>
      <c r="E357" s="17"/>
      <c r="F357" s="17"/>
      <c r="G357" s="17"/>
      <c r="H357" s="17"/>
      <c r="I357" s="17"/>
    </row>
    <row r="358" spans="1:9" x14ac:dyDescent="0.25">
      <c r="A358" s="17"/>
      <c r="B358" s="17"/>
      <c r="C358" s="17"/>
      <c r="D358" s="17"/>
      <c r="E358" s="17"/>
      <c r="F358" s="17"/>
      <c r="G358" s="17"/>
      <c r="H358" s="17"/>
      <c r="I358" s="17"/>
    </row>
    <row r="359" spans="1:9" x14ac:dyDescent="0.25">
      <c r="A359" s="17"/>
      <c r="B359" s="17"/>
      <c r="C359" s="17"/>
      <c r="D359" s="17"/>
      <c r="E359" s="17"/>
      <c r="F359" s="17"/>
      <c r="G359" s="17"/>
      <c r="H359" s="17"/>
      <c r="I359" s="17"/>
    </row>
    <row r="360" spans="1:9" x14ac:dyDescent="0.25">
      <c r="A360" s="17"/>
      <c r="B360" s="17"/>
      <c r="C360" s="17"/>
      <c r="D360" s="17"/>
      <c r="E360" s="17"/>
      <c r="F360" s="17"/>
      <c r="G360" s="17"/>
      <c r="H360" s="17"/>
      <c r="I360" s="17"/>
    </row>
    <row r="361" spans="1:9" x14ac:dyDescent="0.25">
      <c r="A361" s="17"/>
      <c r="B361" s="17"/>
      <c r="C361" s="17"/>
      <c r="D361" s="17"/>
      <c r="E361" s="17"/>
      <c r="F361" s="17"/>
      <c r="G361" s="17"/>
      <c r="H361" s="17"/>
      <c r="I361" s="17"/>
    </row>
  </sheetData>
  <sheetProtection formatCells="0"/>
  <mergeCells count="25">
    <mergeCell ref="E29:F29"/>
    <mergeCell ref="E31:F31"/>
    <mergeCell ref="E32:F32"/>
    <mergeCell ref="A1:I1"/>
    <mergeCell ref="A11:I11"/>
    <mergeCell ref="E18:F18"/>
    <mergeCell ref="E26:F26"/>
    <mergeCell ref="E27:F27"/>
    <mergeCell ref="E28:F28"/>
    <mergeCell ref="D13:F13"/>
    <mergeCell ref="E15:F15"/>
    <mergeCell ref="E16:F16"/>
    <mergeCell ref="E17:F17"/>
    <mergeCell ref="A55:B55"/>
    <mergeCell ref="A40:I40"/>
    <mergeCell ref="A35:B35"/>
    <mergeCell ref="A34:B34"/>
    <mergeCell ref="E30:F30"/>
    <mergeCell ref="E33:F33"/>
    <mergeCell ref="D41:F41"/>
    <mergeCell ref="E34:F34"/>
    <mergeCell ref="E35:F35"/>
    <mergeCell ref="A38:B38"/>
    <mergeCell ref="D38:H38"/>
    <mergeCell ref="D37:H37"/>
  </mergeCells>
  <phoneticPr fontId="3" type="noConversion"/>
  <dataValidations count="1">
    <dataValidation type="list" allowBlank="1" showInputMessage="1" showErrorMessage="1" sqref="C6" xr:uid="{00000000-0002-0000-0000-000000000000}">
      <formula1>ArrearsTypes</formula1>
    </dataValidation>
  </dataValidations>
  <printOptions horizontalCentered="1" verticalCentered="1"/>
  <pageMargins left="0.2" right="0.2" top="0.28000000000000003" bottom="0.25" header="0" footer="0.511811023622047"/>
  <pageSetup orientation="portrait" blackAndWhite="1" horizontalDpi="300" verticalDpi="300" r:id="rId1"/>
  <headerFooter alignWithMargins="0">
    <oddFooter>&amp;L&amp;F&amp;RPage &amp;P</oddFooter>
  </headerFooter>
  <rowBreaks count="7" manualBreakCount="7">
    <brk id="57" max="16383" man="1"/>
    <brk id="105" max="16383" man="1"/>
    <brk id="154" max="16383" man="1"/>
    <brk id="203" max="16383" man="1"/>
    <brk id="252" max="16383" man="1"/>
    <brk id="301" max="16383" man="1"/>
    <brk id="3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O586"/>
  <sheetViews>
    <sheetView topLeftCell="A79" zoomScaleNormal="85" workbookViewId="0">
      <selection activeCell="I55" sqref="I55"/>
    </sheetView>
  </sheetViews>
  <sheetFormatPr defaultRowHeight="13.2" x14ac:dyDescent="0.25"/>
  <cols>
    <col min="1" max="1" width="6.6640625" customWidth="1"/>
    <col min="2" max="2" width="12.6640625" customWidth="1"/>
    <col min="3" max="8" width="13.6640625" customWidth="1"/>
    <col min="9" max="9" width="11.6640625" customWidth="1"/>
    <col min="10" max="10" width="1.6640625" style="35" customWidth="1"/>
    <col min="11" max="11" width="1.6640625" customWidth="1"/>
    <col min="12" max="12" width="9.6640625" style="99" customWidth="1"/>
    <col min="13" max="13" width="12.6640625" customWidth="1"/>
  </cols>
  <sheetData>
    <row r="1" spans="1:15" x14ac:dyDescent="0.25">
      <c r="A1" s="234" t="s">
        <v>102</v>
      </c>
      <c r="B1" s="234"/>
      <c r="C1" s="234"/>
      <c r="D1" s="234"/>
      <c r="E1" s="234"/>
      <c r="F1" s="234"/>
      <c r="G1" s="234"/>
      <c r="H1" s="234"/>
      <c r="I1" s="234"/>
    </row>
    <row r="2" spans="1:15" x14ac:dyDescent="0.25">
      <c r="A2" s="179"/>
      <c r="M2" s="189">
        <f>SUM($H$77,$H$96,$H$115,$H$140,$H$159,$H$178,$H$203,$H$222,$H$241,$H$266,$H$285,$H$304,$H$327,$H$346,$H$365,$H$391,$H$410,$H$429,$H$454,$H$473,$H$492,$H$517,$H$536,$H$555)-SUM($E$77,$E$96,$E$115,$E$140,$E$159,$E$178,$E$203,$E$222,$E$241,$E$266,$E$285,$E$304,$E$327,$E$346,$E$365,$E$391,$E$410,$E$429,$E$454,$E$473,$E$492,$E$517,$E$536,$E$555)</f>
        <v>0</v>
      </c>
      <c r="O2" t="s">
        <v>91</v>
      </c>
    </row>
    <row r="3" spans="1:15" x14ac:dyDescent="0.25">
      <c r="A3" s="2"/>
      <c r="B3" s="6" t="s">
        <v>0</v>
      </c>
      <c r="C3" s="85" t="str">
        <f>arrears!$C$3</f>
        <v xml:space="preserve"> </v>
      </c>
      <c r="D3" s="1"/>
      <c r="E3" s="1"/>
      <c r="F3" s="6" t="s">
        <v>53</v>
      </c>
      <c r="G3" s="85" t="str">
        <f>arrears!$G$3</f>
        <v xml:space="preserve"> </v>
      </c>
    </row>
    <row r="4" spans="1:15" x14ac:dyDescent="0.25">
      <c r="A4" s="2"/>
      <c r="B4" s="6" t="s">
        <v>1</v>
      </c>
      <c r="C4" s="85" t="str">
        <f>arrears!$C$4</f>
        <v xml:space="preserve"> </v>
      </c>
      <c r="D4" s="1"/>
      <c r="E4" s="1"/>
      <c r="F4" s="6" t="s">
        <v>26</v>
      </c>
      <c r="G4" s="1" t="s">
        <v>26</v>
      </c>
      <c r="M4" s="189">
        <f>SUM($F$77,$F$96,$F$115,$F$140,$F$159,$F$178,$F$203,$F$222,$F$241,$F$266,$F$285,$F$304,$F$327,$F$346,$F$365,$F$391,$F$410,$F$429,$F$454,$F$473,$F$492,$F$517,$F$536,$F$555)</f>
        <v>0</v>
      </c>
      <c r="O4" t="s">
        <v>92</v>
      </c>
    </row>
    <row r="5" spans="1:15" x14ac:dyDescent="0.25">
      <c r="A5" s="2"/>
      <c r="B5" s="6"/>
      <c r="C5" s="1"/>
      <c r="D5" s="1"/>
      <c r="E5" s="1"/>
      <c r="F5" s="6"/>
      <c r="G5" s="1"/>
    </row>
    <row r="6" spans="1:15" x14ac:dyDescent="0.25">
      <c r="A6" s="46" t="s">
        <v>48</v>
      </c>
      <c r="B6" s="47" t="s">
        <v>26</v>
      </c>
      <c r="C6" s="84" t="str">
        <f>arrears!$C$6</f>
        <v xml:space="preserve"> </v>
      </c>
      <c r="D6" s="84">
        <f>arrears!$D$6</f>
        <v>0</v>
      </c>
      <c r="E6" s="1"/>
      <c r="F6" s="6"/>
      <c r="G6" s="1"/>
      <c r="M6" s="190">
        <f>IF(Type="NPA",($G$26),IF(Type="NPA Medical",($G$27),IF(Type="NPA service fees",($G$28),IF(Type="NPA Civil Penalty",($G$29),IF(Type="NPA Attorney Fees",($G$30),IF(Type="NPA Cash Medical",($G$32),$M$8))))))</f>
        <v>0</v>
      </c>
      <c r="O6" t="s">
        <v>93</v>
      </c>
    </row>
    <row r="7" spans="1:15" x14ac:dyDescent="0.25">
      <c r="A7" t="s">
        <v>49</v>
      </c>
      <c r="B7" s="39" t="s">
        <v>26</v>
      </c>
      <c r="C7" s="64">
        <f>arrears!C7</f>
        <v>0</v>
      </c>
    </row>
    <row r="8" spans="1:15" x14ac:dyDescent="0.25">
      <c r="A8" t="s">
        <v>38</v>
      </c>
      <c r="B8" s="37"/>
      <c r="C8" s="175" t="str">
        <f>arrears!$C$8</f>
        <v xml:space="preserve"> </v>
      </c>
      <c r="M8" s="77">
        <f>IF(Type="NPA Spousal",($G$33),IF(Type="NPA other",($G$34),IF(Type="Temporary",($D$35),IF(Type="Conditional",($D$35),0))))</f>
        <v>0</v>
      </c>
      <c r="O8" t="s">
        <v>98</v>
      </c>
    </row>
    <row r="9" spans="1:15" ht="13.8" thickBot="1" x14ac:dyDescent="0.3">
      <c r="A9" t="s">
        <v>65</v>
      </c>
      <c r="B9" s="37"/>
      <c r="C9" s="205" t="str">
        <f>arrears!$C$9</f>
        <v xml:space="preserve"> </v>
      </c>
      <c r="D9" s="39"/>
      <c r="E9" s="39"/>
    </row>
    <row r="10" spans="1:15" x14ac:dyDescent="0.25">
      <c r="A10" s="5"/>
      <c r="B10" s="42"/>
      <c r="C10" s="43"/>
      <c r="D10" s="44"/>
      <c r="E10" s="44"/>
      <c r="F10" s="5"/>
      <c r="G10" s="5"/>
      <c r="H10" s="5"/>
      <c r="I10" s="5"/>
    </row>
    <row r="11" spans="1:15" x14ac:dyDescent="0.25">
      <c r="A11" s="235" t="s">
        <v>44</v>
      </c>
      <c r="B11" s="235"/>
      <c r="C11" s="235"/>
      <c r="D11" s="235"/>
      <c r="E11" s="235"/>
      <c r="F11" s="235"/>
      <c r="G11" s="235"/>
      <c r="H11" s="235"/>
      <c r="I11" s="235"/>
    </row>
    <row r="12" spans="1:15" x14ac:dyDescent="0.25">
      <c r="A12" s="38"/>
      <c r="C12" s="38"/>
    </row>
    <row r="13" spans="1:15" x14ac:dyDescent="0.25">
      <c r="A13" s="39" t="s">
        <v>39</v>
      </c>
      <c r="D13" s="237">
        <f>arrears!$D$13</f>
        <v>0</v>
      </c>
      <c r="E13" s="223"/>
      <c r="G13" s="38" t="s">
        <v>26</v>
      </c>
    </row>
    <row r="14" spans="1:15" x14ac:dyDescent="0.25">
      <c r="A14" s="39"/>
    </row>
    <row r="15" spans="1:15" x14ac:dyDescent="0.25">
      <c r="A15" s="39" t="s">
        <v>40</v>
      </c>
      <c r="D15" s="200" t="str">
        <f>arrears!D15</f>
        <v xml:space="preserve"> </v>
      </c>
      <c r="E15" s="195" t="s">
        <v>121</v>
      </c>
      <c r="F15" s="83" t="str">
        <f>arrears!G15</f>
        <v xml:space="preserve"> </v>
      </c>
      <c r="G15" s="195" t="s">
        <v>120</v>
      </c>
      <c r="H15" s="198" t="str">
        <f>arrears!I15</f>
        <v xml:space="preserve"> </v>
      </c>
    </row>
    <row r="16" spans="1:15" x14ac:dyDescent="0.25">
      <c r="A16" s="39" t="s">
        <v>41</v>
      </c>
      <c r="D16" s="200">
        <f>arrears!D16</f>
        <v>0</v>
      </c>
      <c r="E16" s="195" t="s">
        <v>121</v>
      </c>
      <c r="F16" s="83" t="str">
        <f>arrears!G16</f>
        <v xml:space="preserve"> </v>
      </c>
      <c r="G16" s="195" t="s">
        <v>120</v>
      </c>
      <c r="H16" s="198" t="str">
        <f>arrears!I16</f>
        <v xml:space="preserve"> </v>
      </c>
    </row>
    <row r="17" spans="1:9" x14ac:dyDescent="0.25">
      <c r="A17" s="39" t="s">
        <v>42</v>
      </c>
      <c r="D17" s="200">
        <f>arrears!D17</f>
        <v>0</v>
      </c>
      <c r="E17" s="195" t="s">
        <v>121</v>
      </c>
      <c r="F17" s="83" t="str">
        <f>arrears!G17</f>
        <v xml:space="preserve"> </v>
      </c>
      <c r="G17" s="195" t="s">
        <v>120</v>
      </c>
      <c r="H17" s="198" t="str">
        <f>arrears!I17</f>
        <v xml:space="preserve"> </v>
      </c>
    </row>
    <row r="18" spans="1:9" x14ac:dyDescent="0.25">
      <c r="A18" s="39" t="s">
        <v>50</v>
      </c>
      <c r="D18" s="200">
        <f>arrears!D18</f>
        <v>0</v>
      </c>
      <c r="E18" s="195" t="s">
        <v>121</v>
      </c>
      <c r="F18" s="83">
        <f>arrears!G18</f>
        <v>0</v>
      </c>
      <c r="G18" s="195" t="s">
        <v>120</v>
      </c>
      <c r="H18" s="198" t="str">
        <f>arrears!I18</f>
        <v xml:space="preserve"> </v>
      </c>
    </row>
    <row r="19" spans="1:9" x14ac:dyDescent="0.25">
      <c r="D19" s="86" t="s">
        <v>26</v>
      </c>
    </row>
    <row r="20" spans="1:9" x14ac:dyDescent="0.25">
      <c r="A20" s="39" t="s">
        <v>66</v>
      </c>
      <c r="D20" s="181">
        <f>arrears!$D$20</f>
        <v>0</v>
      </c>
    </row>
    <row r="21" spans="1:9" x14ac:dyDescent="0.25">
      <c r="A21" s="39" t="s">
        <v>26</v>
      </c>
      <c r="D21" s="181">
        <f>arrears!D21</f>
        <v>0</v>
      </c>
    </row>
    <row r="22" spans="1:9" x14ac:dyDescent="0.25">
      <c r="A22" s="39" t="s">
        <v>26</v>
      </c>
      <c r="D22" s="181">
        <f>arrears!D22</f>
        <v>0</v>
      </c>
    </row>
    <row r="23" spans="1:9" x14ac:dyDescent="0.25">
      <c r="A23" s="39" t="s">
        <v>26</v>
      </c>
      <c r="D23" s="181">
        <f>arrears!D23</f>
        <v>0</v>
      </c>
    </row>
    <row r="25" spans="1:9" x14ac:dyDescent="0.25">
      <c r="A25" s="40" t="str">
        <f>arrears!A25</f>
        <v xml:space="preserve"> </v>
      </c>
      <c r="D25" s="88" t="s">
        <v>67</v>
      </c>
      <c r="E25" s="59"/>
      <c r="F25" s="60" t="str">
        <f>arrears!$E$25</f>
        <v xml:space="preserve"> </v>
      </c>
      <c r="G25" s="89" t="s">
        <v>68</v>
      </c>
    </row>
    <row r="26" spans="1:9" x14ac:dyDescent="0.25">
      <c r="A26" s="54" t="s">
        <v>54</v>
      </c>
      <c r="B26" s="2"/>
      <c r="D26" s="62">
        <f>arrears!C26</f>
        <v>0</v>
      </c>
      <c r="E26" s="81" t="str">
        <f>arrears!D26</f>
        <v xml:space="preserve">as of </v>
      </c>
      <c r="F26" s="202" t="str">
        <f>arrears!$E$26</f>
        <v xml:space="preserve"> </v>
      </c>
      <c r="G26" s="90">
        <f>arrears!G26</f>
        <v>0</v>
      </c>
      <c r="H26" s="82" t="str">
        <f>arrears!H26</f>
        <v>as of</v>
      </c>
      <c r="I26" s="203" t="str">
        <f>arrears!$I$26</f>
        <v xml:space="preserve"> </v>
      </c>
    </row>
    <row r="27" spans="1:9" x14ac:dyDescent="0.25">
      <c r="A27" s="54" t="s">
        <v>55</v>
      </c>
      <c r="B27" s="2"/>
      <c r="D27" s="62">
        <f>arrears!C27</f>
        <v>0</v>
      </c>
      <c r="E27" s="81" t="str">
        <f>arrears!D27</f>
        <v xml:space="preserve">as of </v>
      </c>
      <c r="F27" s="202" t="str">
        <f>arrears!$E$26</f>
        <v xml:space="preserve"> </v>
      </c>
      <c r="G27" s="90">
        <f>arrears!G27</f>
        <v>0</v>
      </c>
      <c r="H27" s="83" t="str">
        <f>arrears!H27</f>
        <v>as of</v>
      </c>
      <c r="I27" s="203" t="str">
        <f>arrears!$I$27</f>
        <v xml:space="preserve"> </v>
      </c>
    </row>
    <row r="28" spans="1:9" x14ac:dyDescent="0.25">
      <c r="A28" s="54" t="s">
        <v>51</v>
      </c>
      <c r="B28" s="6"/>
      <c r="D28" s="62">
        <f>arrears!C28</f>
        <v>0</v>
      </c>
      <c r="E28" s="81" t="str">
        <f>arrears!D28</f>
        <v xml:space="preserve">as of </v>
      </c>
      <c r="F28" s="202" t="str">
        <f>arrears!$E$26</f>
        <v xml:space="preserve"> </v>
      </c>
      <c r="G28" s="90">
        <f>arrears!G28</f>
        <v>0</v>
      </c>
      <c r="H28" s="83" t="str">
        <f>arrears!H28</f>
        <v>as of</v>
      </c>
      <c r="I28" s="203" t="str">
        <f>arrears!$I$28</f>
        <v xml:space="preserve">  </v>
      </c>
    </row>
    <row r="29" spans="1:9" x14ac:dyDescent="0.25">
      <c r="A29" s="54" t="s">
        <v>56</v>
      </c>
      <c r="B29" s="6"/>
      <c r="D29" s="62">
        <f>arrears!C29</f>
        <v>0</v>
      </c>
      <c r="E29" s="81" t="str">
        <f>arrears!D29</f>
        <v xml:space="preserve">as of </v>
      </c>
      <c r="F29" s="202" t="str">
        <f>arrears!$E$26</f>
        <v xml:space="preserve"> </v>
      </c>
      <c r="G29" s="90">
        <f>arrears!G29</f>
        <v>0</v>
      </c>
      <c r="H29" s="83" t="str">
        <f>arrears!H29</f>
        <v>as of</v>
      </c>
      <c r="I29" s="203" t="str">
        <f>arrears!$I$29</f>
        <v xml:space="preserve"> </v>
      </c>
    </row>
    <row r="30" spans="1:9" x14ac:dyDescent="0.25">
      <c r="A30" s="54" t="s">
        <v>52</v>
      </c>
      <c r="B30" s="2"/>
      <c r="D30" s="62">
        <f>arrears!C30</f>
        <v>0</v>
      </c>
      <c r="E30" s="81" t="str">
        <f>arrears!D30</f>
        <v xml:space="preserve">as of </v>
      </c>
      <c r="F30" s="202" t="str">
        <f>arrears!$E$26</f>
        <v xml:space="preserve"> </v>
      </c>
      <c r="G30" s="90">
        <f>arrears!G30</f>
        <v>0</v>
      </c>
      <c r="H30" s="83" t="str">
        <f>arrears!H30</f>
        <v>as of</v>
      </c>
      <c r="I30" s="203" t="str">
        <f>arrears!$I$30</f>
        <v xml:space="preserve"> </v>
      </c>
    </row>
    <row r="31" spans="1:9" x14ac:dyDescent="0.25">
      <c r="A31" s="55" t="s">
        <v>57</v>
      </c>
      <c r="B31" s="2"/>
      <c r="D31" s="62">
        <f>arrears!C31</f>
        <v>0</v>
      </c>
      <c r="E31" s="81" t="str">
        <f>arrears!D31</f>
        <v xml:space="preserve">as of </v>
      </c>
      <c r="F31" s="202" t="str">
        <f>arrears!$E$26</f>
        <v xml:space="preserve"> </v>
      </c>
      <c r="G31" s="90">
        <f>arrears!G31</f>
        <v>0</v>
      </c>
      <c r="H31" s="83" t="str">
        <f>arrears!H31</f>
        <v>as of</v>
      </c>
      <c r="I31" s="203" t="str">
        <f>arrears!$I$31</f>
        <v xml:space="preserve"> </v>
      </c>
    </row>
    <row r="32" spans="1:9" x14ac:dyDescent="0.25">
      <c r="A32" s="55" t="s">
        <v>58</v>
      </c>
      <c r="B32" s="2"/>
      <c r="D32" s="62">
        <f>arrears!C32</f>
        <v>0</v>
      </c>
      <c r="E32" s="81" t="str">
        <f>arrears!D32</f>
        <v xml:space="preserve">as of </v>
      </c>
      <c r="F32" s="202" t="str">
        <f>arrears!$E$26</f>
        <v xml:space="preserve"> </v>
      </c>
      <c r="G32" s="90">
        <f>arrears!G32</f>
        <v>0</v>
      </c>
      <c r="H32" s="83" t="str">
        <f>arrears!H32</f>
        <v>as of</v>
      </c>
      <c r="I32" s="203" t="str">
        <f>arrears!$I$32</f>
        <v xml:space="preserve"> </v>
      </c>
    </row>
    <row r="33" spans="1:9" x14ac:dyDescent="0.25">
      <c r="A33" s="55" t="s">
        <v>59</v>
      </c>
      <c r="B33" s="2"/>
      <c r="D33" s="62">
        <f>arrears!C33</f>
        <v>0</v>
      </c>
      <c r="E33" s="81" t="str">
        <f>arrears!D33</f>
        <v xml:space="preserve">as of </v>
      </c>
      <c r="F33" s="202" t="str">
        <f>arrears!$E$26</f>
        <v xml:space="preserve"> </v>
      </c>
      <c r="G33" s="90">
        <f>arrears!G33</f>
        <v>0</v>
      </c>
      <c r="H33" s="83" t="str">
        <f>arrears!H33</f>
        <v>as of</v>
      </c>
      <c r="I33" s="203" t="str">
        <f>arrears!$I$33</f>
        <v xml:space="preserve">  </v>
      </c>
    </row>
    <row r="34" spans="1:9" x14ac:dyDescent="0.25">
      <c r="A34" s="222" t="s">
        <v>60</v>
      </c>
      <c r="B34" s="236"/>
      <c r="D34" s="62">
        <f>arrears!C34</f>
        <v>0</v>
      </c>
      <c r="E34" s="81" t="str">
        <f>arrears!D34</f>
        <v xml:space="preserve">as of </v>
      </c>
      <c r="F34" s="202" t="str">
        <f>arrears!$E$26</f>
        <v xml:space="preserve"> </v>
      </c>
      <c r="G34" s="90">
        <f>arrears!G34</f>
        <v>0</v>
      </c>
      <c r="H34" s="83" t="str">
        <f>arrears!H34</f>
        <v>as of</v>
      </c>
      <c r="I34" s="203" t="str">
        <f>arrears!$I$34</f>
        <v xml:space="preserve"> </v>
      </c>
    </row>
    <row r="35" spans="1:9" x14ac:dyDescent="0.25">
      <c r="A35" s="55" t="str">
        <f>arrears!A35</f>
        <v>Temp/Cond. Arrears:</v>
      </c>
      <c r="D35" s="77">
        <f>arrears!C35</f>
        <v>0</v>
      </c>
      <c r="E35" s="81" t="str">
        <f>arrears!D35</f>
        <v xml:space="preserve">as of </v>
      </c>
      <c r="F35" s="202" t="str">
        <f>arrears!$E$26</f>
        <v xml:space="preserve"> </v>
      </c>
      <c r="G35" s="91"/>
    </row>
    <row r="37" spans="1:9" x14ac:dyDescent="0.25">
      <c r="A37" s="41" t="s">
        <v>43</v>
      </c>
      <c r="C37">
        <f>arrears!$C$37</f>
        <v>0.01</v>
      </c>
      <c r="D37" s="239" t="str">
        <f>arrears!D37</f>
        <v>12 percent per annum prior to January 1, 2012</v>
      </c>
      <c r="E37" s="239"/>
      <c r="F37" s="239"/>
    </row>
    <row r="38" spans="1:9" ht="13.8" thickBot="1" x14ac:dyDescent="0.3">
      <c r="A38" s="238" t="s">
        <v>43</v>
      </c>
      <c r="B38" s="226"/>
      <c r="C38">
        <v>5.0000000000000001E-3</v>
      </c>
      <c r="D38" s="240" t="str">
        <f>arrears!D38</f>
        <v>6 percent per annum effective January 1, 2012</v>
      </c>
      <c r="E38" s="240"/>
      <c r="F38" s="240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235" t="s">
        <v>101</v>
      </c>
      <c r="B40" s="235"/>
      <c r="C40" s="235"/>
      <c r="D40" s="235"/>
      <c r="E40" s="235"/>
      <c r="F40" s="235"/>
      <c r="G40" s="235"/>
      <c r="H40" s="235"/>
      <c r="I40" s="235"/>
    </row>
    <row r="41" spans="1:9" x14ac:dyDescent="0.25">
      <c r="D41" s="235" t="str">
        <f>arrears!$C$6</f>
        <v xml:space="preserve"> </v>
      </c>
      <c r="E41" s="235"/>
      <c r="F41" s="235"/>
    </row>
    <row r="42" spans="1:9" x14ac:dyDescent="0.25">
      <c r="A42" s="18"/>
      <c r="B42" s="18"/>
      <c r="C42" s="18"/>
      <c r="D42" s="18"/>
      <c r="G42" s="100" t="str">
        <f>IF(Type="Complete","Child Support Arrears:",IF(Type="PA","Child Support Arrears:",IF(Type="NPA","Child Support Arrears:",IF(Type="Conditional","Child Support Arrears:",IF(Type="Temporary","Child Support Arrears:",IF(Type=" ","Child Support Arrears:","  "))))))</f>
        <v>Child Support Arrears:</v>
      </c>
      <c r="H42" s="95">
        <f>IF(Type="NPA",SUM(NPA_Arrears,Monthly_balances_due),IF(Type="Complete",SUM($D$35,$D$26,$G$26,Monthly_balances_due),IF(Type="Conditional",SUM($D$35,Monthly_balances_due),IF(Type="Temporary",SUM($D$35,Monthly_balances_due),IF(Type="PA",SUM($D$26,Monthly_balances_due),0)))))</f>
        <v>0</v>
      </c>
      <c r="I42" s="18"/>
    </row>
    <row r="43" spans="1:9" x14ac:dyDescent="0.25">
      <c r="A43" s="20" t="s">
        <v>20</v>
      </c>
      <c r="C43" s="79" t="str">
        <f>arrears!$C$43</f>
        <v xml:space="preserve"> </v>
      </c>
      <c r="G43" s="100" t="str">
        <f>IF(Type="Complete","Medical Arrears:",IF(Type="PA Medical","Medical Arrears:",IF(Type="NPA Medical","Medical Arrears:",IF(Type=" ","Medical Arrears:"," "))))</f>
        <v>Medical Arrears:</v>
      </c>
      <c r="H43" s="95">
        <f>IF(Type="NPA Medical",SUM($G$27,Monthly_balances_due),IF(Type="PA Medical",SUM($D$27,Monthly_balances_due),IF(Type="Complete",$D$27+$G$27,0)))</f>
        <v>0</v>
      </c>
      <c r="I43" s="17"/>
    </row>
    <row r="44" spans="1:9" x14ac:dyDescent="0.25">
      <c r="A44" s="20" t="s">
        <v>21</v>
      </c>
      <c r="C44" s="210"/>
      <c r="G44" s="100" t="str">
        <f>IF(Type="Complete","Total Spousal Arrears:",IF(Type="PA Spousal","Spousal Arrears:",IF(Type="NPA Spousal","Spousal Arrears:",IF(Type=" ","Spousal Arrears:"," "))))</f>
        <v>Spousal Arrears:</v>
      </c>
      <c r="H44" s="95">
        <f>IF(Type="NPA Spousal",SUM($G$33,Monthly_balances_due),IF(Type="PA Spousal",SUM($D$33,Monthly_balances_due),IF(Type="Complete",SUM($G$33,$D$33),0)))</f>
        <v>0</v>
      </c>
      <c r="I44" s="17"/>
    </row>
    <row r="45" spans="1:9" x14ac:dyDescent="0.25">
      <c r="A45" s="20" t="s">
        <v>32</v>
      </c>
      <c r="C45" s="211"/>
      <c r="D45" s="23" t="s">
        <v>26</v>
      </c>
      <c r="G45" s="100" t="str">
        <f>IF(Type="NPA Other","Surcharge:",IF(Type="NPA","Surcharge:",IF(Type="Complete","Surcharge:",IF(Type="NPA Medical","Surcharge:",IF(Type="NPA Spousal","Surcharge:",IF(Type="NPA Cash Medical","Surcharge:",IF(Type="Conditional","Surcharge:",IF(Type="Temporary","Surcharge:"," "))))))))</f>
        <v xml:space="preserve"> </v>
      </c>
      <c r="H45" s="95">
        <f>IF(Type="Complete",SUM(Surcharge),IF(Type="NPA Other",SUM(Surcharge_calculation),IF(Type="NPA",SUM(Surcharge+Surcharge_calculation),IF(Type="Conditional",SUM(Surcharge_calculation),IF(Type="Temporary",SUM(Surcharge_calculation),IF(Type="NPA Spousal",SUM(G31+Surcharge_calculation),IF(Type="NPA Medical",SUM(Surcharge_calculation),IF(Type="NPA Cash Medical",(Surcharge_calculation),0))))))))</f>
        <v>0</v>
      </c>
      <c r="I45" s="17"/>
    </row>
    <row r="46" spans="1:9" x14ac:dyDescent="0.25">
      <c r="A46" s="21"/>
      <c r="B46" s="21"/>
      <c r="C46" s="21"/>
      <c r="D46" s="18"/>
      <c r="G46" s="100" t="str">
        <f>IF(Type="Complete","Civil Penalty:",IF(Type="PA Civil Penalty","Civil Penalty:",IF(Type="NPA Civil Penalty","Civil Penalty:",IF(Type=" ","Civil Penalty:"," "))))</f>
        <v>Civil Penalty:</v>
      </c>
      <c r="H46" s="95">
        <f>IF(Type="NPA Civil Penalty",SUM($G$29,Monthly_balances_due),IF(Type="Complete",SUM($D$29,$G$29),IF(Type="PA Civil Penalty",SUM($D$29,Monthly_balances_due),0)))</f>
        <v>0</v>
      </c>
      <c r="I46" s="17"/>
    </row>
    <row r="47" spans="1:9" x14ac:dyDescent="0.25">
      <c r="A47" s="20" t="str">
        <f>arrears!A47</f>
        <v>I declare that the above statement is true and accurate</v>
      </c>
      <c r="B47" s="21"/>
      <c r="C47" s="21"/>
      <c r="D47" s="18"/>
      <c r="G47" s="100" t="str">
        <f>IF(Type="Complete","Cash Medical Arrears:", IF(Type="PA Cash Medical","Cash Medical Arrears:", IF(Type="NPA Cash Medical", "Cash Medical Arrears:",IF(Type=" ","Cash Medical Arrears:", " "))))</f>
        <v>Cash Medical Arrears:</v>
      </c>
      <c r="H47" s="95">
        <f>IF(Type="NPA Cash Medical",SUM($G$32,Monthly_balances_due),IF(Type="Complete",SUM($D$32,$G$32,),IF(Type="PA Cash Medical",SUM($G$32,Monthly_balances_due),0)))</f>
        <v>0</v>
      </c>
      <c r="I47" s="17"/>
    </row>
    <row r="48" spans="1:9" x14ac:dyDescent="0.25">
      <c r="A48" s="20" t="str">
        <f>arrears!A48</f>
        <v>to the best of my knowledge and belief. I understand that</v>
      </c>
      <c r="B48" s="21"/>
      <c r="C48" s="21"/>
      <c r="D48" s="18"/>
      <c r="G48" s="100" t="str">
        <f>IF(Type=" ","Service Fees:",IF(Type="NPA Service Fees","Service Fees:",IF(Type="Complete","Service Fees:", IF(Type="PA Service Fees","Service Fees:"," "))))</f>
        <v>Service Fees:</v>
      </c>
      <c r="H48" s="95">
        <f>IF(Type="NPA Service Fees",SUM($G$28,Monthly_balances_due),IF(Type="Complete",SUM($D$28,$G$28,),IF(Type="PA Service Fees",SUM($D$28,Monthly_balances_due),0)))</f>
        <v>0</v>
      </c>
      <c r="I48" s="17"/>
    </row>
    <row r="49" spans="1:13" x14ac:dyDescent="0.25">
      <c r="A49" s="20" t="str">
        <f>arrears!A49</f>
        <v xml:space="preserve">if the above statement is false, I will be subject to the </v>
      </c>
      <c r="B49" s="17"/>
      <c r="C49" s="17"/>
      <c r="D49" s="17"/>
      <c r="G49" s="100" t="str">
        <f>IF(Type="Complete","Attorney Fees:",IF(Type="PA Attorney Fees","Attorney Fees:",IF(Type="NPA Attorney Fees","Attorney Fees:",IF(Type=" ","Attorney Fees:"," "))))</f>
        <v>Attorney Fees:</v>
      </c>
      <c r="H49" s="95">
        <f>IF(Type="NPA Attorney Fees",SUM($G$30,Monthly_balances_due),IF(Type="Complete",SUM($D$30,$G$30),IF(Type="PA Attorney Fees",SUM($D$30,Monthly_balances_due),0)))</f>
        <v>0</v>
      </c>
      <c r="I49" s="17"/>
    </row>
    <row r="50" spans="1:13" x14ac:dyDescent="0.25">
      <c r="A50" s="20" t="str">
        <f>arrears!A50</f>
        <v>penalty of perjury.</v>
      </c>
      <c r="B50" s="18"/>
      <c r="C50" s="17"/>
      <c r="D50" s="17"/>
      <c r="G50" s="100" t="str">
        <f>IF(Type="Complete","Total Other:",IF(Type="PA Other","Total Other:",IF(Type="NPA Other","Total Other:",IF(Type=" ","Total Other:"," "))))</f>
        <v>Total Other:</v>
      </c>
      <c r="H50" s="95">
        <f>IF(Type="NPA Other",SUM($G$34,Monthly_balances_due),IF(Type="Complete",SUM($D$34,$G$34),IF(Type="PA Other",SUM($D$34,Monthly_balances_due),0)))</f>
        <v>0</v>
      </c>
      <c r="I50" s="17"/>
    </row>
    <row r="51" spans="1:13" x14ac:dyDescent="0.25">
      <c r="A51" s="20">
        <f>arrears!A51</f>
        <v>0</v>
      </c>
      <c r="B51" s="17"/>
      <c r="C51" s="17"/>
      <c r="D51" s="17"/>
      <c r="E51" s="17"/>
      <c r="G51" s="100" t="s">
        <v>28</v>
      </c>
      <c r="H51" s="137">
        <f>SUM(H42:H50)</f>
        <v>0</v>
      </c>
      <c r="I51" s="17"/>
    </row>
    <row r="52" spans="1:13" x14ac:dyDescent="0.25">
      <c r="A52" s="20"/>
      <c r="B52" s="17"/>
      <c r="C52" s="17"/>
      <c r="D52" s="17"/>
      <c r="E52" s="17"/>
      <c r="G52" s="100"/>
      <c r="H52" s="137"/>
      <c r="I52" s="17"/>
    </row>
    <row r="53" spans="1:13" ht="13.8" thickBot="1" x14ac:dyDescent="0.3">
      <c r="A53" s="18"/>
      <c r="B53" s="21" t="s">
        <v>23</v>
      </c>
      <c r="C53" s="24"/>
      <c r="D53" s="25"/>
      <c r="E53" s="17"/>
      <c r="G53" s="21" t="s">
        <v>24</v>
      </c>
      <c r="H53" s="194" t="str">
        <f>arrears!$H$53</f>
        <v xml:space="preserve"> </v>
      </c>
      <c r="I53" s="17"/>
    </row>
    <row r="54" spans="1:13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13" ht="13.8" thickBot="1" x14ac:dyDescent="0.3">
      <c r="A55" s="233"/>
      <c r="B55" s="233"/>
      <c r="C55" s="94" t="str">
        <f>arrears!$C$55</f>
        <v xml:space="preserve"> </v>
      </c>
      <c r="E55" s="25"/>
      <c r="F55" s="25"/>
      <c r="G55" s="25"/>
      <c r="H55" s="217"/>
      <c r="I55" s="219"/>
    </row>
    <row r="56" spans="1:13" x14ac:dyDescent="0.25">
      <c r="A56" s="26" t="s">
        <v>61</v>
      </c>
      <c r="B56" s="26"/>
      <c r="C56" s="26"/>
      <c r="D56" s="26"/>
      <c r="F56" s="48" t="s">
        <v>69</v>
      </c>
      <c r="G56" s="42"/>
      <c r="H56" s="2"/>
      <c r="I56" s="52" t="s">
        <v>70</v>
      </c>
    </row>
    <row r="57" spans="1:13" x14ac:dyDescent="0.25">
      <c r="A57" s="17"/>
      <c r="B57" s="17"/>
      <c r="C57" s="17"/>
      <c r="D57" s="17"/>
      <c r="E57" s="17"/>
      <c r="F57" s="17"/>
      <c r="G57" s="17"/>
      <c r="H57" s="17"/>
      <c r="I57" s="17"/>
      <c r="M57" s="16"/>
    </row>
    <row r="58" spans="1:13" x14ac:dyDescent="0.25">
      <c r="A58" s="17"/>
      <c r="B58" s="17"/>
      <c r="C58" s="17"/>
      <c r="D58" s="17"/>
      <c r="E58" s="17"/>
      <c r="F58" s="17"/>
      <c r="G58" s="17"/>
      <c r="H58" s="17"/>
      <c r="I58" s="17"/>
      <c r="M58" s="16"/>
    </row>
    <row r="59" spans="1:13" x14ac:dyDescent="0.25">
      <c r="A59" s="2"/>
      <c r="B59" s="6" t="s">
        <v>0</v>
      </c>
      <c r="C59" s="63" t="str">
        <f>$C$3</f>
        <v xml:space="preserve"> </v>
      </c>
      <c r="D59" s="1"/>
      <c r="E59" s="1"/>
      <c r="F59" s="6" t="s">
        <v>53</v>
      </c>
      <c r="G59" s="93" t="str">
        <f>$G$3</f>
        <v xml:space="preserve"> </v>
      </c>
      <c r="J59" s="36"/>
    </row>
    <row r="60" spans="1:13" x14ac:dyDescent="0.25">
      <c r="A60" s="2"/>
      <c r="B60" s="6" t="s">
        <v>1</v>
      </c>
      <c r="C60" s="63" t="str">
        <f>$C$4</f>
        <v xml:space="preserve"> </v>
      </c>
      <c r="D60" s="1"/>
      <c r="E60" s="1"/>
      <c r="F60" s="6" t="s">
        <v>26</v>
      </c>
      <c r="G60" s="1" t="s">
        <v>26</v>
      </c>
      <c r="J60" s="36"/>
    </row>
    <row r="61" spans="1:13" x14ac:dyDescent="0.25">
      <c r="J61"/>
    </row>
    <row r="62" spans="1:13" ht="13.8" thickBot="1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13" ht="13.8" thickBot="1" x14ac:dyDescent="0.3">
      <c r="A63" s="4" t="s">
        <v>2</v>
      </c>
      <c r="B63" s="65" t="str">
        <f>arrears!B66</f>
        <v xml:space="preserve"> </v>
      </c>
      <c r="C63" s="12" t="s">
        <v>35</v>
      </c>
      <c r="D63" s="12" t="s">
        <v>5</v>
      </c>
      <c r="E63" s="12" t="s">
        <v>5</v>
      </c>
      <c r="F63" s="12" t="s">
        <v>46</v>
      </c>
      <c r="G63" s="12" t="s">
        <v>29</v>
      </c>
      <c r="H63" s="14" t="s">
        <v>27</v>
      </c>
      <c r="I63" s="14" t="s">
        <v>29</v>
      </c>
      <c r="L63" s="215" t="s">
        <v>31</v>
      </c>
      <c r="M63" s="214"/>
    </row>
    <row r="64" spans="1:13" ht="13.8" thickBot="1" x14ac:dyDescent="0.3">
      <c r="A64" s="4" t="s">
        <v>3</v>
      </c>
      <c r="B64" s="4" t="s">
        <v>4</v>
      </c>
      <c r="C64" s="13" t="s">
        <v>34</v>
      </c>
      <c r="D64" s="13" t="s">
        <v>30</v>
      </c>
      <c r="E64" s="13" t="s">
        <v>27</v>
      </c>
      <c r="F64" s="13" t="s">
        <v>47</v>
      </c>
      <c r="G64" s="13" t="s">
        <v>33</v>
      </c>
      <c r="H64" s="15" t="s">
        <v>34</v>
      </c>
      <c r="I64" s="15" t="s">
        <v>31</v>
      </c>
      <c r="L64" s="216" t="s">
        <v>124</v>
      </c>
    </row>
    <row r="65" spans="1:13" ht="13.8" thickBot="1" x14ac:dyDescent="0.3">
      <c r="A65" s="3" t="s">
        <v>7</v>
      </c>
      <c r="B65" s="152">
        <f>arrears!B68</f>
        <v>0</v>
      </c>
      <c r="C65" s="153">
        <f>arrears!C68</f>
        <v>0</v>
      </c>
      <c r="D65" s="154">
        <f>IF(C65&lt;=(M6+B65),C65,IF(C65&lt;=(M6+B65+Surcharge),(B65+M6),IF(C65&gt;=SUM(M6+B65+Surcharge),(C65-$C$29),0)))</f>
        <v>0</v>
      </c>
      <c r="E65" s="152">
        <f t="shared" ref="E65:E75" si="0">IF(C65=D65,0,IF(C65&lt;&gt;D65,(C65-D65)))</f>
        <v>0</v>
      </c>
      <c r="F65" s="155">
        <f>B65-D65</f>
        <v>0</v>
      </c>
      <c r="G65" s="156">
        <f>IF(J65="b",($M$6+F65),IF(J65="s",($M$6+F65),IF(J65="j",$M$6,IF(J65="z",0,(M6+F65)))))</f>
        <v>0</v>
      </c>
      <c r="H65" s="157">
        <f>IF(G65&lt;=0,0,IF(J65="s",0,IF(J65="n",0,IF(J65="e",(G65*$L$65),IF(J65="b",0,IF(J65="j",0,SUM(G65*$L$65)))))))</f>
        <v>0</v>
      </c>
      <c r="I65" s="157">
        <f>IF(J65="b",(Surcharge-E65+H65),IF(J65="s",(Surcharge-E65+H65),IF(J65="j",0,IF(J65="e",(Surcharge-E65+H65),IF(B65=0,0,(Surcharge-E65+H65))))))</f>
        <v>0</v>
      </c>
      <c r="J65" s="35" t="s">
        <v>26</v>
      </c>
      <c r="K65" t="s">
        <v>26</v>
      </c>
      <c r="L65" s="99">
        <f>IF(B63&lt;2012,0.01,0.005)</f>
        <v>5.0000000000000001E-3</v>
      </c>
    </row>
    <row r="66" spans="1:13" ht="13.8" thickBot="1" x14ac:dyDescent="0.3">
      <c r="A66" s="3" t="s">
        <v>8</v>
      </c>
      <c r="B66" s="152">
        <f>arrears!B69</f>
        <v>0</v>
      </c>
      <c r="C66" s="153">
        <f>arrears!C69</f>
        <v>0</v>
      </c>
      <c r="D66" s="154">
        <f>IF(C66&lt;=(G65+B66),C66,IF(C66&lt;=(G65+B66+I65),B66+G65,IF(C66&gt;SUM(G65+B66+I65),(C66-I65),0)))</f>
        <v>0</v>
      </c>
      <c r="E66" s="152">
        <f t="shared" si="0"/>
        <v>0</v>
      </c>
      <c r="F66" s="155">
        <f>B66-D66</f>
        <v>0</v>
      </c>
      <c r="G66" s="156">
        <f>IF(J65="b",0,IF(J66="b",(G65+F66),IF(J66="s",(($M$6)+F66),IF(J66="j",$M$6,IF(J65="e",0,IF(J66="z",0,(G65+F66)))))))</f>
        <v>0</v>
      </c>
      <c r="H66" s="157">
        <f>IF(G66&lt;=0,0,IF(J66="s",0,IF(J66="n",0,IF(J66="e",(G66*$L$65),IF(J66="b",0,IF(J66="j",0,SUM(G66*$L$65)))))))</f>
        <v>0</v>
      </c>
      <c r="I66" s="157">
        <f t="shared" ref="I66:I76" si="1">IF(J65="b",0,IF(J66="s",(Surcharge-E66+H66),IF(J66="j",0,IF(J65="e",0,(I65-E66+H66)))))</f>
        <v>0</v>
      </c>
      <c r="J66" s="35" t="s">
        <v>26</v>
      </c>
      <c r="K66" t="s">
        <v>26</v>
      </c>
      <c r="L66" s="99" t="s">
        <v>26</v>
      </c>
    </row>
    <row r="67" spans="1:13" ht="13.8" thickBot="1" x14ac:dyDescent="0.3">
      <c r="A67" s="3" t="s">
        <v>9</v>
      </c>
      <c r="B67" s="152">
        <f>arrears!B70</f>
        <v>0</v>
      </c>
      <c r="C67" s="153">
        <f>arrears!C70</f>
        <v>0</v>
      </c>
      <c r="D67" s="154">
        <f t="shared" ref="D67:D76" si="2">IF(C67&lt;=(G66+B67),C67,IF(C67&lt;=(G66+B67+I66),B67+G66,IF(C67&gt;SUM(G66+B67+I66),(C67-I66),0)))</f>
        <v>0</v>
      </c>
      <c r="E67" s="152">
        <f t="shared" si="0"/>
        <v>0</v>
      </c>
      <c r="F67" s="155">
        <f t="shared" ref="F67:F76" si="3">B67-D67</f>
        <v>0</v>
      </c>
      <c r="G67" s="156">
        <f t="shared" ref="G67:G76" si="4">IF(J66="b",0,IF(J67="b",(G66+F67),IF(J67="s",(($M$6)+F67),IF(J67="j",$M$6,IF(J66="e",0,IF(J67="z",0,(G66+F67)))))))</f>
        <v>0</v>
      </c>
      <c r="H67" s="157">
        <f t="shared" ref="H67:H76" si="5">IF(G67&lt;=0,0,IF(J67="s",0,IF(J67="n",0,IF(J67="e",(G67*$L$65),IF(J67="b",0,IF(J67="j",0,SUM(G67*$L$65)))))))</f>
        <v>0</v>
      </c>
      <c r="I67" s="157">
        <f t="shared" si="1"/>
        <v>0</v>
      </c>
      <c r="J67" s="35" t="s">
        <v>26</v>
      </c>
      <c r="K67" t="s">
        <v>26</v>
      </c>
      <c r="L67" s="99" t="s">
        <v>26</v>
      </c>
    </row>
    <row r="68" spans="1:13" ht="13.8" thickBot="1" x14ac:dyDescent="0.3">
      <c r="A68" s="3" t="s">
        <v>10</v>
      </c>
      <c r="B68" s="152">
        <f>arrears!B71</f>
        <v>0</v>
      </c>
      <c r="C68" s="153">
        <f>arrears!C71</f>
        <v>0</v>
      </c>
      <c r="D68" s="154">
        <f t="shared" si="2"/>
        <v>0</v>
      </c>
      <c r="E68" s="152">
        <f t="shared" si="0"/>
        <v>0</v>
      </c>
      <c r="F68" s="155">
        <f t="shared" si="3"/>
        <v>0</v>
      </c>
      <c r="G68" s="156">
        <f t="shared" si="4"/>
        <v>0</v>
      </c>
      <c r="H68" s="157">
        <f t="shared" si="5"/>
        <v>0</v>
      </c>
      <c r="I68" s="157">
        <f t="shared" si="1"/>
        <v>0</v>
      </c>
      <c r="J68" s="35" t="s">
        <v>26</v>
      </c>
      <c r="K68" t="s">
        <v>26</v>
      </c>
      <c r="L68" s="99" t="s">
        <v>26</v>
      </c>
    </row>
    <row r="69" spans="1:13" ht="13.8" thickBot="1" x14ac:dyDescent="0.3">
      <c r="A69" s="3" t="s">
        <v>11</v>
      </c>
      <c r="B69" s="152">
        <f>arrears!B72</f>
        <v>0</v>
      </c>
      <c r="C69" s="153">
        <f>arrears!C72</f>
        <v>0</v>
      </c>
      <c r="D69" s="154">
        <f t="shared" si="2"/>
        <v>0</v>
      </c>
      <c r="E69" s="152">
        <f t="shared" si="0"/>
        <v>0</v>
      </c>
      <c r="F69" s="155">
        <f t="shared" si="3"/>
        <v>0</v>
      </c>
      <c r="G69" s="156">
        <f t="shared" si="4"/>
        <v>0</v>
      </c>
      <c r="H69" s="157">
        <f t="shared" si="5"/>
        <v>0</v>
      </c>
      <c r="I69" s="157">
        <f t="shared" si="1"/>
        <v>0</v>
      </c>
      <c r="J69" s="35" t="s">
        <v>26</v>
      </c>
      <c r="K69" t="s">
        <v>26</v>
      </c>
      <c r="L69" s="99" t="s">
        <v>26</v>
      </c>
      <c r="M69" t="s">
        <v>26</v>
      </c>
    </row>
    <row r="70" spans="1:13" ht="13.8" thickBot="1" x14ac:dyDescent="0.3">
      <c r="A70" s="3" t="s">
        <v>12</v>
      </c>
      <c r="B70" s="152">
        <f>arrears!B73</f>
        <v>0</v>
      </c>
      <c r="C70" s="153">
        <f>arrears!C73</f>
        <v>0</v>
      </c>
      <c r="D70" s="154">
        <f t="shared" si="2"/>
        <v>0</v>
      </c>
      <c r="E70" s="152">
        <f t="shared" si="0"/>
        <v>0</v>
      </c>
      <c r="F70" s="155">
        <f t="shared" si="3"/>
        <v>0</v>
      </c>
      <c r="G70" s="156">
        <f t="shared" si="4"/>
        <v>0</v>
      </c>
      <c r="H70" s="157">
        <f t="shared" si="5"/>
        <v>0</v>
      </c>
      <c r="I70" s="157">
        <f t="shared" si="1"/>
        <v>0</v>
      </c>
      <c r="J70" s="35" t="s">
        <v>26</v>
      </c>
      <c r="K70" t="s">
        <v>26</v>
      </c>
      <c r="L70" s="99" t="s">
        <v>26</v>
      </c>
      <c r="M70" s="22" t="s">
        <v>26</v>
      </c>
    </row>
    <row r="71" spans="1:13" ht="13.8" thickBot="1" x14ac:dyDescent="0.3">
      <c r="A71" s="3" t="s">
        <v>13</v>
      </c>
      <c r="B71" s="152">
        <f>arrears!B74</f>
        <v>0</v>
      </c>
      <c r="C71" s="153">
        <f>arrears!C74</f>
        <v>0</v>
      </c>
      <c r="D71" s="154">
        <f t="shared" si="2"/>
        <v>0</v>
      </c>
      <c r="E71" s="152">
        <f t="shared" si="0"/>
        <v>0</v>
      </c>
      <c r="F71" s="155">
        <f t="shared" si="3"/>
        <v>0</v>
      </c>
      <c r="G71" s="156">
        <f t="shared" si="4"/>
        <v>0</v>
      </c>
      <c r="H71" s="157">
        <f t="shared" si="5"/>
        <v>0</v>
      </c>
      <c r="I71" s="157">
        <f t="shared" si="1"/>
        <v>0</v>
      </c>
      <c r="J71" s="35" t="s">
        <v>26</v>
      </c>
      <c r="K71" t="s">
        <v>26</v>
      </c>
      <c r="L71" s="99" t="s">
        <v>26</v>
      </c>
      <c r="M71" t="s">
        <v>26</v>
      </c>
    </row>
    <row r="72" spans="1:13" ht="13.8" thickBot="1" x14ac:dyDescent="0.3">
      <c r="A72" s="3" t="s">
        <v>14</v>
      </c>
      <c r="B72" s="152">
        <f>arrears!B75</f>
        <v>0</v>
      </c>
      <c r="C72" s="153">
        <f>arrears!C75</f>
        <v>0</v>
      </c>
      <c r="D72" s="154">
        <f t="shared" si="2"/>
        <v>0</v>
      </c>
      <c r="E72" s="152">
        <f t="shared" si="0"/>
        <v>0</v>
      </c>
      <c r="F72" s="155">
        <f t="shared" si="3"/>
        <v>0</v>
      </c>
      <c r="G72" s="156">
        <f t="shared" si="4"/>
        <v>0</v>
      </c>
      <c r="H72" s="157">
        <f t="shared" si="5"/>
        <v>0</v>
      </c>
      <c r="I72" s="157">
        <f t="shared" si="1"/>
        <v>0</v>
      </c>
      <c r="J72" s="35" t="s">
        <v>26</v>
      </c>
      <c r="K72" t="s">
        <v>26</v>
      </c>
      <c r="L72" s="99" t="s">
        <v>26</v>
      </c>
    </row>
    <row r="73" spans="1:13" ht="13.8" thickBot="1" x14ac:dyDescent="0.3">
      <c r="A73" s="3" t="s">
        <v>15</v>
      </c>
      <c r="B73" s="152">
        <f>arrears!B76</f>
        <v>0</v>
      </c>
      <c r="C73" s="153">
        <f>arrears!C76</f>
        <v>0</v>
      </c>
      <c r="D73" s="154">
        <f t="shared" si="2"/>
        <v>0</v>
      </c>
      <c r="E73" s="152">
        <f t="shared" si="0"/>
        <v>0</v>
      </c>
      <c r="F73" s="155">
        <f t="shared" si="3"/>
        <v>0</v>
      </c>
      <c r="G73" s="156">
        <f t="shared" si="4"/>
        <v>0</v>
      </c>
      <c r="H73" s="157">
        <f t="shared" si="5"/>
        <v>0</v>
      </c>
      <c r="I73" s="157">
        <f t="shared" si="1"/>
        <v>0</v>
      </c>
      <c r="J73" s="35" t="s">
        <v>26</v>
      </c>
      <c r="K73" t="s">
        <v>26</v>
      </c>
      <c r="L73" s="99" t="s">
        <v>26</v>
      </c>
    </row>
    <row r="74" spans="1:13" ht="13.8" thickBot="1" x14ac:dyDescent="0.3">
      <c r="A74" s="3" t="s">
        <v>16</v>
      </c>
      <c r="B74" s="152">
        <f>arrears!B77</f>
        <v>0</v>
      </c>
      <c r="C74" s="153">
        <f>arrears!C77</f>
        <v>0</v>
      </c>
      <c r="D74" s="154">
        <f t="shared" si="2"/>
        <v>0</v>
      </c>
      <c r="E74" s="152">
        <f t="shared" si="0"/>
        <v>0</v>
      </c>
      <c r="F74" s="155">
        <f t="shared" si="3"/>
        <v>0</v>
      </c>
      <c r="G74" s="156">
        <f t="shared" si="4"/>
        <v>0</v>
      </c>
      <c r="H74" s="157">
        <f t="shared" si="5"/>
        <v>0</v>
      </c>
      <c r="I74" s="157">
        <f t="shared" si="1"/>
        <v>0</v>
      </c>
      <c r="J74" s="35" t="s">
        <v>26</v>
      </c>
      <c r="K74" t="s">
        <v>26</v>
      </c>
      <c r="L74" s="99" t="s">
        <v>26</v>
      </c>
    </row>
    <row r="75" spans="1:13" ht="13.8" thickBot="1" x14ac:dyDescent="0.3">
      <c r="A75" s="3" t="s">
        <v>17</v>
      </c>
      <c r="B75" s="152">
        <f>arrears!B78</f>
        <v>0</v>
      </c>
      <c r="C75" s="153">
        <f>arrears!C78</f>
        <v>0</v>
      </c>
      <c r="D75" s="154">
        <f t="shared" si="2"/>
        <v>0</v>
      </c>
      <c r="E75" s="152">
        <f t="shared" si="0"/>
        <v>0</v>
      </c>
      <c r="F75" s="155">
        <f t="shared" si="3"/>
        <v>0</v>
      </c>
      <c r="G75" s="156">
        <f t="shared" si="4"/>
        <v>0</v>
      </c>
      <c r="H75" s="157">
        <f t="shared" si="5"/>
        <v>0</v>
      </c>
      <c r="I75" s="157">
        <f t="shared" si="1"/>
        <v>0</v>
      </c>
      <c r="J75" s="35" t="s">
        <v>26</v>
      </c>
      <c r="K75" t="s">
        <v>26</v>
      </c>
      <c r="L75" s="99" t="s">
        <v>26</v>
      </c>
    </row>
    <row r="76" spans="1:13" ht="13.8" thickBot="1" x14ac:dyDescent="0.3">
      <c r="A76" s="3" t="s">
        <v>18</v>
      </c>
      <c r="B76" s="152">
        <f>arrears!B79</f>
        <v>0</v>
      </c>
      <c r="C76" s="153">
        <f>arrears!C79</f>
        <v>0</v>
      </c>
      <c r="D76" s="154">
        <f t="shared" si="2"/>
        <v>0</v>
      </c>
      <c r="E76" s="152">
        <f>IF(C76=D76,0,IF(C76&lt;&gt;D76,(C76-D76)))</f>
        <v>0</v>
      </c>
      <c r="F76" s="155">
        <f t="shared" si="3"/>
        <v>0</v>
      </c>
      <c r="G76" s="156">
        <f t="shared" si="4"/>
        <v>0</v>
      </c>
      <c r="H76" s="157">
        <f t="shared" si="5"/>
        <v>0</v>
      </c>
      <c r="I76" s="157">
        <f t="shared" si="1"/>
        <v>0</v>
      </c>
      <c r="J76" s="35" t="s">
        <v>26</v>
      </c>
      <c r="K76" t="s">
        <v>26</v>
      </c>
      <c r="L76" s="99" t="s">
        <v>26</v>
      </c>
    </row>
    <row r="77" spans="1:13" ht="13.8" thickBot="1" x14ac:dyDescent="0.3">
      <c r="A77" s="7" t="s">
        <v>19</v>
      </c>
      <c r="B77" s="158">
        <f>SUM(B65:B76)</f>
        <v>0</v>
      </c>
      <c r="C77" s="158">
        <f>SUM(C65:C76)</f>
        <v>0</v>
      </c>
      <c r="D77" s="158">
        <f>SUM(D65:D76)</f>
        <v>0</v>
      </c>
      <c r="E77" s="158">
        <f>SUM(E65:E76)</f>
        <v>0</v>
      </c>
      <c r="F77" s="159">
        <f>SUM(F65:F76)</f>
        <v>0</v>
      </c>
      <c r="G77" s="157" t="s">
        <v>26</v>
      </c>
      <c r="H77" s="160">
        <f>SUM(H65:H76)</f>
        <v>0</v>
      </c>
      <c r="I77" s="161" t="s">
        <v>26</v>
      </c>
    </row>
    <row r="78" spans="1:13" x14ac:dyDescent="0.25">
      <c r="A78" s="207">
        <f>arrears!A81</f>
        <v>0</v>
      </c>
    </row>
    <row r="79" spans="1:13" x14ac:dyDescent="0.25">
      <c r="A79" s="207">
        <f>arrears!A82</f>
        <v>0</v>
      </c>
    </row>
    <row r="80" spans="1:13" x14ac:dyDescent="0.25">
      <c r="A80" s="207">
        <f>arrears!A83</f>
        <v>0</v>
      </c>
    </row>
    <row r="81" spans="1:12" ht="13.8" thickBot="1" x14ac:dyDescent="0.3">
      <c r="A81" s="207">
        <f>arrears!A84</f>
        <v>0</v>
      </c>
    </row>
    <row r="82" spans="1:12" ht="13.8" thickBot="1" x14ac:dyDescent="0.3">
      <c r="A82" s="4" t="s">
        <v>2</v>
      </c>
      <c r="B82" s="65" t="str">
        <f>arrears!G66</f>
        <v xml:space="preserve"> </v>
      </c>
      <c r="C82" s="12" t="s">
        <v>35</v>
      </c>
      <c r="D82" s="12" t="s">
        <v>5</v>
      </c>
      <c r="E82" s="12" t="s">
        <v>5</v>
      </c>
      <c r="F82" s="12" t="s">
        <v>46</v>
      </c>
      <c r="G82" s="12" t="s">
        <v>29</v>
      </c>
      <c r="H82" s="14" t="s">
        <v>27</v>
      </c>
      <c r="I82" s="14" t="s">
        <v>29</v>
      </c>
      <c r="L82" s="215" t="s">
        <v>31</v>
      </c>
    </row>
    <row r="83" spans="1:12" ht="13.8" thickBot="1" x14ac:dyDescent="0.3">
      <c r="A83" s="4" t="s">
        <v>3</v>
      </c>
      <c r="B83" s="4" t="s">
        <v>4</v>
      </c>
      <c r="C83" s="13" t="s">
        <v>34</v>
      </c>
      <c r="D83" s="13" t="s">
        <v>30</v>
      </c>
      <c r="E83" s="13" t="s">
        <v>27</v>
      </c>
      <c r="F83" s="13" t="s">
        <v>47</v>
      </c>
      <c r="G83" s="13" t="s">
        <v>33</v>
      </c>
      <c r="H83" s="15" t="s">
        <v>34</v>
      </c>
      <c r="I83" s="15" t="s">
        <v>31</v>
      </c>
      <c r="L83" s="216" t="s">
        <v>124</v>
      </c>
    </row>
    <row r="84" spans="1:12" ht="13.8" thickBot="1" x14ac:dyDescent="0.3">
      <c r="A84" s="3" t="s">
        <v>7</v>
      </c>
      <c r="B84" s="152">
        <f>arrears!G68</f>
        <v>0</v>
      </c>
      <c r="C84" s="153">
        <f>arrears!H68</f>
        <v>0</v>
      </c>
      <c r="D84" s="154">
        <f>IF(C84&lt;=(G76+B84),C84,IF(C84&lt;=SUM(G76+B84+I76),(B84+G76),IF(C84&gt;SUM(G76+B84+I76),(C84-I76),0)))</f>
        <v>0</v>
      </c>
      <c r="E84" s="152">
        <f t="shared" ref="E84:E95" si="6">IF(C84=D84,0,IF(C84&lt;&gt;D84,(C84-D84)))</f>
        <v>0</v>
      </c>
      <c r="F84" s="155">
        <f t="shared" ref="F84:F89" si="7">B84-D84</f>
        <v>0</v>
      </c>
      <c r="G84" s="156">
        <f>IF(J76="b",0,IF(J84="b",(G76+F84),IF(J84="s",(($M$6)+F84),IF(J84="j",$M$6,IF(J76="e",0,IF(J84="z",0,(G76+F84)))))))</f>
        <v>0</v>
      </c>
      <c r="H84" s="157">
        <f>IF(G84&lt;=0,0,IF(J84="s",0,IF(J84="n",0,IF(J84="e",(G84*$L$84),IF(J84="b",0,IF(J84="j",0,SUM(G84*$L$84)))))))</f>
        <v>0</v>
      </c>
      <c r="I84" s="157">
        <f>IF(J76="b",0,IF(J84="s",(Surcharge-E84+H84),IF(J84="j",0,IF(J76="e",0,(I76-E84+H84)))))</f>
        <v>0</v>
      </c>
      <c r="J84" s="35" t="s">
        <v>26</v>
      </c>
      <c r="L84" s="99">
        <f>IF(B82&lt;2012,0.01,0.005)</f>
        <v>5.0000000000000001E-3</v>
      </c>
    </row>
    <row r="85" spans="1:12" ht="13.8" thickBot="1" x14ac:dyDescent="0.3">
      <c r="A85" s="3" t="s">
        <v>8</v>
      </c>
      <c r="B85" s="152">
        <f>arrears!G69</f>
        <v>0</v>
      </c>
      <c r="C85" s="153">
        <f>arrears!H69</f>
        <v>0</v>
      </c>
      <c r="D85" s="154">
        <f>IF(C85&lt;=(G84+B85),C85,IF(C85&lt;=(G84+B85+I84),B85+G84,IF(C85&gt;=SUM(G84+B85+I84),(C85-I84),0)))</f>
        <v>0</v>
      </c>
      <c r="E85" s="152">
        <f t="shared" si="6"/>
        <v>0</v>
      </c>
      <c r="F85" s="155">
        <f t="shared" si="7"/>
        <v>0</v>
      </c>
      <c r="G85" s="156">
        <f>IF(J84="b",0,IF(J85="b",(G84+F85),IF(J85="s",(($M$6)+F85),IF(J85="j",$M$6,IF(J84="e",0,IF(J85="z",0,(G84+F85)))))))</f>
        <v>0</v>
      </c>
      <c r="H85" s="157">
        <f>IF(G85&lt;=0,0,IF(J85="s",0,IF(J85="n",0,IF(J85="e",(G85*$L$84),IF(J85="b",0,IF(J85="j",0,SUM(G85*$L$84)))))))</f>
        <v>0</v>
      </c>
      <c r="I85" s="157">
        <f t="shared" ref="I85:I95" si="8">IF(J84="b",0,IF(J85="s",(Surcharge-E85+H85),IF(J85="j",0,IF(J84="e",0,(I84-E85+H85)))))</f>
        <v>0</v>
      </c>
      <c r="J85" s="35" t="s">
        <v>26</v>
      </c>
      <c r="L85" s="99" t="s">
        <v>26</v>
      </c>
    </row>
    <row r="86" spans="1:12" ht="13.8" thickBot="1" x14ac:dyDescent="0.3">
      <c r="A86" s="3" t="s">
        <v>9</v>
      </c>
      <c r="B86" s="152">
        <f>arrears!G70</f>
        <v>0</v>
      </c>
      <c r="C86" s="153">
        <f>arrears!H70</f>
        <v>0</v>
      </c>
      <c r="D86" s="154">
        <f t="shared" ref="D86:D95" si="9">IF(C86&lt;=(G85+B86),C86,IF(C86&lt;=(G85+B86+I85),B86+G85,IF(C86&gt;=SUM(G85+B86+I85),(C86-I85),0)))</f>
        <v>0</v>
      </c>
      <c r="E86" s="152">
        <f t="shared" si="6"/>
        <v>0</v>
      </c>
      <c r="F86" s="155">
        <f t="shared" si="7"/>
        <v>0</v>
      </c>
      <c r="G86" s="156">
        <f t="shared" ref="G86:G95" si="10">IF(J85="b",0,IF(J86="b",(G85+F86),IF(J86="s",(($M$6)+F86),IF(J86="j",$M$6,IF(J85="e",0,IF(J86="z",0,(G85+F86)))))))</f>
        <v>0</v>
      </c>
      <c r="H86" s="157">
        <f t="shared" ref="H86:H95" si="11">IF(G86&lt;=0,0,IF(J86="s",0,IF(J86="n",0,IF(J86="e",(G86*$L$84),IF(J86="b",0,IF(J86="j",0,SUM(G86*$L$84)))))))</f>
        <v>0</v>
      </c>
      <c r="I86" s="157">
        <f t="shared" si="8"/>
        <v>0</v>
      </c>
      <c r="J86" s="35" t="s">
        <v>26</v>
      </c>
      <c r="L86" s="99" t="s">
        <v>26</v>
      </c>
    </row>
    <row r="87" spans="1:12" ht="13.8" thickBot="1" x14ac:dyDescent="0.3">
      <c r="A87" s="3" t="s">
        <v>10</v>
      </c>
      <c r="B87" s="152">
        <f>arrears!G71</f>
        <v>0</v>
      </c>
      <c r="C87" s="153">
        <f>arrears!H71</f>
        <v>0</v>
      </c>
      <c r="D87" s="154">
        <f t="shared" si="9"/>
        <v>0</v>
      </c>
      <c r="E87" s="152">
        <f t="shared" si="6"/>
        <v>0</v>
      </c>
      <c r="F87" s="155">
        <f t="shared" si="7"/>
        <v>0</v>
      </c>
      <c r="G87" s="156">
        <f t="shared" si="10"/>
        <v>0</v>
      </c>
      <c r="H87" s="157">
        <f t="shared" si="11"/>
        <v>0</v>
      </c>
      <c r="I87" s="157">
        <f t="shared" si="8"/>
        <v>0</v>
      </c>
      <c r="J87" s="35" t="s">
        <v>26</v>
      </c>
      <c r="L87" s="99" t="s">
        <v>26</v>
      </c>
    </row>
    <row r="88" spans="1:12" ht="13.8" thickBot="1" x14ac:dyDescent="0.3">
      <c r="A88" s="3" t="s">
        <v>11</v>
      </c>
      <c r="B88" s="152">
        <f>arrears!G72</f>
        <v>0</v>
      </c>
      <c r="C88" s="153">
        <f>arrears!H72</f>
        <v>0</v>
      </c>
      <c r="D88" s="154">
        <f t="shared" si="9"/>
        <v>0</v>
      </c>
      <c r="E88" s="152">
        <f t="shared" si="6"/>
        <v>0</v>
      </c>
      <c r="F88" s="155">
        <f t="shared" si="7"/>
        <v>0</v>
      </c>
      <c r="G88" s="156">
        <f t="shared" si="10"/>
        <v>0</v>
      </c>
      <c r="H88" s="157">
        <f t="shared" si="11"/>
        <v>0</v>
      </c>
      <c r="I88" s="157">
        <f t="shared" si="8"/>
        <v>0</v>
      </c>
      <c r="J88" s="35" t="s">
        <v>26</v>
      </c>
      <c r="L88" s="99" t="s">
        <v>26</v>
      </c>
    </row>
    <row r="89" spans="1:12" ht="13.8" thickBot="1" x14ac:dyDescent="0.3">
      <c r="A89" s="3" t="s">
        <v>12</v>
      </c>
      <c r="B89" s="152">
        <f>arrears!G73</f>
        <v>0</v>
      </c>
      <c r="C89" s="153">
        <f>arrears!H73</f>
        <v>0</v>
      </c>
      <c r="D89" s="154">
        <f t="shared" si="9"/>
        <v>0</v>
      </c>
      <c r="E89" s="152">
        <f t="shared" si="6"/>
        <v>0</v>
      </c>
      <c r="F89" s="155">
        <f t="shared" si="7"/>
        <v>0</v>
      </c>
      <c r="G89" s="156">
        <f t="shared" si="10"/>
        <v>0</v>
      </c>
      <c r="H89" s="157">
        <f t="shared" si="11"/>
        <v>0</v>
      </c>
      <c r="I89" s="157">
        <f t="shared" si="8"/>
        <v>0</v>
      </c>
      <c r="J89" s="35" t="s">
        <v>26</v>
      </c>
      <c r="L89" s="99" t="s">
        <v>26</v>
      </c>
    </row>
    <row r="90" spans="1:12" ht="13.8" thickBot="1" x14ac:dyDescent="0.3">
      <c r="A90" s="3" t="s">
        <v>13</v>
      </c>
      <c r="B90" s="152">
        <f>arrears!G74</f>
        <v>0</v>
      </c>
      <c r="C90" s="153">
        <f>arrears!H74</f>
        <v>0</v>
      </c>
      <c r="D90" s="154">
        <f t="shared" si="9"/>
        <v>0</v>
      </c>
      <c r="E90" s="152">
        <f t="shared" si="6"/>
        <v>0</v>
      </c>
      <c r="F90" s="155">
        <f t="shared" ref="F90:F95" si="12">B90-D90</f>
        <v>0</v>
      </c>
      <c r="G90" s="156">
        <f t="shared" si="10"/>
        <v>0</v>
      </c>
      <c r="H90" s="157">
        <f t="shared" si="11"/>
        <v>0</v>
      </c>
      <c r="I90" s="157">
        <f t="shared" si="8"/>
        <v>0</v>
      </c>
      <c r="J90" s="35" t="s">
        <v>26</v>
      </c>
      <c r="L90" s="99" t="s">
        <v>26</v>
      </c>
    </row>
    <row r="91" spans="1:12" ht="13.8" thickBot="1" x14ac:dyDescent="0.3">
      <c r="A91" s="3" t="s">
        <v>14</v>
      </c>
      <c r="B91" s="152">
        <f>arrears!G75</f>
        <v>0</v>
      </c>
      <c r="C91" s="153">
        <f>arrears!H75</f>
        <v>0</v>
      </c>
      <c r="D91" s="154">
        <f t="shared" si="9"/>
        <v>0</v>
      </c>
      <c r="E91" s="152">
        <f t="shared" si="6"/>
        <v>0</v>
      </c>
      <c r="F91" s="155">
        <f t="shared" si="12"/>
        <v>0</v>
      </c>
      <c r="G91" s="156">
        <f t="shared" si="10"/>
        <v>0</v>
      </c>
      <c r="H91" s="157">
        <f t="shared" si="11"/>
        <v>0</v>
      </c>
      <c r="I91" s="157">
        <f t="shared" si="8"/>
        <v>0</v>
      </c>
      <c r="J91" s="35" t="s">
        <v>26</v>
      </c>
      <c r="L91" s="99" t="s">
        <v>26</v>
      </c>
    </row>
    <row r="92" spans="1:12" ht="13.8" thickBot="1" x14ac:dyDescent="0.3">
      <c r="A92" s="3" t="s">
        <v>15</v>
      </c>
      <c r="B92" s="152">
        <f>arrears!G76</f>
        <v>0</v>
      </c>
      <c r="C92" s="153">
        <f>arrears!H76</f>
        <v>0</v>
      </c>
      <c r="D92" s="154">
        <f t="shared" si="9"/>
        <v>0</v>
      </c>
      <c r="E92" s="152">
        <f t="shared" si="6"/>
        <v>0</v>
      </c>
      <c r="F92" s="155">
        <f t="shared" si="12"/>
        <v>0</v>
      </c>
      <c r="G92" s="156">
        <f t="shared" si="10"/>
        <v>0</v>
      </c>
      <c r="H92" s="157">
        <f t="shared" si="11"/>
        <v>0</v>
      </c>
      <c r="I92" s="157">
        <f t="shared" si="8"/>
        <v>0</v>
      </c>
      <c r="J92" s="35" t="s">
        <v>26</v>
      </c>
      <c r="L92" s="99" t="s">
        <v>36</v>
      </c>
    </row>
    <row r="93" spans="1:12" ht="13.8" thickBot="1" x14ac:dyDescent="0.3">
      <c r="A93" s="3" t="s">
        <v>16</v>
      </c>
      <c r="B93" s="152">
        <f>arrears!G77</f>
        <v>0</v>
      </c>
      <c r="C93" s="153">
        <f>arrears!H77</f>
        <v>0</v>
      </c>
      <c r="D93" s="154">
        <f t="shared" si="9"/>
        <v>0</v>
      </c>
      <c r="E93" s="152">
        <f t="shared" si="6"/>
        <v>0</v>
      </c>
      <c r="F93" s="155">
        <f t="shared" si="12"/>
        <v>0</v>
      </c>
      <c r="G93" s="156">
        <f t="shared" si="10"/>
        <v>0</v>
      </c>
      <c r="H93" s="157">
        <f t="shared" si="11"/>
        <v>0</v>
      </c>
      <c r="I93" s="157">
        <f t="shared" si="8"/>
        <v>0</v>
      </c>
      <c r="J93" s="35" t="s">
        <v>26</v>
      </c>
      <c r="L93" s="99" t="s">
        <v>26</v>
      </c>
    </row>
    <row r="94" spans="1:12" ht="13.8" thickBot="1" x14ac:dyDescent="0.3">
      <c r="A94" s="3" t="s">
        <v>17</v>
      </c>
      <c r="B94" s="152">
        <f>arrears!G78</f>
        <v>0</v>
      </c>
      <c r="C94" s="153">
        <f>arrears!H78</f>
        <v>0</v>
      </c>
      <c r="D94" s="154">
        <f t="shared" si="9"/>
        <v>0</v>
      </c>
      <c r="E94" s="152">
        <f t="shared" si="6"/>
        <v>0</v>
      </c>
      <c r="F94" s="155">
        <f t="shared" si="12"/>
        <v>0</v>
      </c>
      <c r="G94" s="156">
        <f t="shared" si="10"/>
        <v>0</v>
      </c>
      <c r="H94" s="157">
        <f t="shared" si="11"/>
        <v>0</v>
      </c>
      <c r="I94" s="157">
        <f t="shared" si="8"/>
        <v>0</v>
      </c>
      <c r="J94" s="35" t="s">
        <v>26</v>
      </c>
      <c r="L94" s="99" t="s">
        <v>26</v>
      </c>
    </row>
    <row r="95" spans="1:12" ht="13.8" thickBot="1" x14ac:dyDescent="0.3">
      <c r="A95" s="3" t="s">
        <v>18</v>
      </c>
      <c r="B95" s="152">
        <f>arrears!G79</f>
        <v>0</v>
      </c>
      <c r="C95" s="153">
        <f>arrears!H79</f>
        <v>0</v>
      </c>
      <c r="D95" s="154">
        <f t="shared" si="9"/>
        <v>0</v>
      </c>
      <c r="E95" s="152">
        <f t="shared" si="6"/>
        <v>0</v>
      </c>
      <c r="F95" s="155">
        <f t="shared" si="12"/>
        <v>0</v>
      </c>
      <c r="G95" s="156">
        <f t="shared" si="10"/>
        <v>0</v>
      </c>
      <c r="H95" s="157">
        <f t="shared" si="11"/>
        <v>0</v>
      </c>
      <c r="I95" s="157">
        <f t="shared" si="8"/>
        <v>0</v>
      </c>
      <c r="J95" s="35" t="s">
        <v>26</v>
      </c>
      <c r="L95" s="99" t="s">
        <v>26</v>
      </c>
    </row>
    <row r="96" spans="1:12" ht="13.8" thickBot="1" x14ac:dyDescent="0.3">
      <c r="A96" s="7" t="s">
        <v>19</v>
      </c>
      <c r="B96" s="158">
        <f>SUM(B84:B95)</f>
        <v>0</v>
      </c>
      <c r="C96" s="158">
        <f>SUM(C84:C95)</f>
        <v>0</v>
      </c>
      <c r="D96" s="158">
        <f>SUM(D84:D95)</f>
        <v>0</v>
      </c>
      <c r="E96" s="159">
        <f>SUM(E84:E95)</f>
        <v>0</v>
      </c>
      <c r="F96" s="159">
        <f>SUM(F84:F95)</f>
        <v>0</v>
      </c>
      <c r="G96" s="157" t="s">
        <v>26</v>
      </c>
      <c r="H96" s="160">
        <f xml:space="preserve"> SUM(H84:H95)</f>
        <v>0</v>
      </c>
      <c r="I96" s="162"/>
    </row>
    <row r="97" spans="1:12" x14ac:dyDescent="0.25">
      <c r="A97" s="181">
        <f>arrears!F81</f>
        <v>0</v>
      </c>
    </row>
    <row r="98" spans="1:12" x14ac:dyDescent="0.25">
      <c r="A98" s="181">
        <f>arrears!F82</f>
        <v>0</v>
      </c>
    </row>
    <row r="99" spans="1:12" x14ac:dyDescent="0.25">
      <c r="A99" s="181">
        <f>arrears!F83</f>
        <v>0</v>
      </c>
    </row>
    <row r="100" spans="1:12" ht="13.8" thickBot="1" x14ac:dyDescent="0.3">
      <c r="A100" s="181">
        <f>arrears!F84</f>
        <v>0</v>
      </c>
      <c r="K100" t="s">
        <v>26</v>
      </c>
    </row>
    <row r="101" spans="1:12" ht="13.8" thickBot="1" x14ac:dyDescent="0.3">
      <c r="A101" s="4" t="s">
        <v>2</v>
      </c>
      <c r="B101" s="65" t="str">
        <f>arrears!B85</f>
        <v xml:space="preserve"> </v>
      </c>
      <c r="C101" s="12" t="s">
        <v>35</v>
      </c>
      <c r="D101" s="12" t="s">
        <v>5</v>
      </c>
      <c r="E101" s="12" t="s">
        <v>5</v>
      </c>
      <c r="F101" s="12" t="s">
        <v>46</v>
      </c>
      <c r="G101" s="12" t="s">
        <v>29</v>
      </c>
      <c r="H101" s="14" t="s">
        <v>27</v>
      </c>
      <c r="I101" s="14" t="s">
        <v>29</v>
      </c>
      <c r="K101" t="s">
        <v>26</v>
      </c>
      <c r="L101" s="215" t="s">
        <v>31</v>
      </c>
    </row>
    <row r="102" spans="1:12" ht="13.8" thickBot="1" x14ac:dyDescent="0.3">
      <c r="A102" s="4" t="s">
        <v>3</v>
      </c>
      <c r="B102" s="4" t="s">
        <v>4</v>
      </c>
      <c r="C102" s="13" t="s">
        <v>34</v>
      </c>
      <c r="D102" s="13" t="s">
        <v>30</v>
      </c>
      <c r="E102" s="13" t="s">
        <v>27</v>
      </c>
      <c r="F102" s="13" t="s">
        <v>47</v>
      </c>
      <c r="G102" s="13" t="s">
        <v>33</v>
      </c>
      <c r="H102" s="15" t="s">
        <v>34</v>
      </c>
      <c r="I102" s="15" t="s">
        <v>31</v>
      </c>
      <c r="K102" t="s">
        <v>26</v>
      </c>
      <c r="L102" s="216" t="s">
        <v>124</v>
      </c>
    </row>
    <row r="103" spans="1:12" ht="13.8" thickBot="1" x14ac:dyDescent="0.3">
      <c r="A103" s="3" t="s">
        <v>7</v>
      </c>
      <c r="B103" s="67">
        <f>arrears!B87</f>
        <v>0</v>
      </c>
      <c r="C103" s="67">
        <f>arrears!C87</f>
        <v>0</v>
      </c>
      <c r="D103" s="68">
        <f>IF(C103&lt;=(G95+B103),C103,IF(C103&lt;=SUM(G95+B103+I95),(B103+G95),IF(C103&gt;=SUM(G95+B103+I95),(C103-I95),0)))</f>
        <v>0</v>
      </c>
      <c r="E103" s="67">
        <f t="shared" ref="E103:E114" si="13">IF(C103=D103,0,IF(C103&lt;&gt;D103,(C103-D103)))</f>
        <v>0</v>
      </c>
      <c r="F103" s="69">
        <f t="shared" ref="F103:F114" si="14">B103-D103</f>
        <v>0</v>
      </c>
      <c r="G103" s="156">
        <f>IF(J95="b",0,IF(J103="b",(G95+F103),IF(J103="s",(($M$6)+F103),IF(J103="j",$M$6,IF(J95="e",0,IF(J103="z",0,(G95+F103)))))))</f>
        <v>0</v>
      </c>
      <c r="H103" s="157">
        <f>IF(G103&lt;=0,0,IF(J103="s",0,IF(J103="n",0,IF(J103="e",(G103*$L$103),IF(J103="b",0,IF(J103="j",0,SUM(G103*$L$103)))))))</f>
        <v>0</v>
      </c>
      <c r="I103" s="157">
        <f>IF(J95="b",0,IF(J103="s",(Surcharge-E103+H103),IF(J103="j",0,IF(J95="e",0,(I95-E103+H103)))))</f>
        <v>0</v>
      </c>
      <c r="J103" s="35" t="s">
        <v>26</v>
      </c>
      <c r="K103" t="s">
        <v>26</v>
      </c>
      <c r="L103" s="99">
        <f>IF(B101&lt;2012,0.01,0.005)</f>
        <v>5.0000000000000001E-3</v>
      </c>
    </row>
    <row r="104" spans="1:12" ht="13.8" thickBot="1" x14ac:dyDescent="0.3">
      <c r="A104" s="3" t="s">
        <v>8</v>
      </c>
      <c r="B104" s="67">
        <f>arrears!B88</f>
        <v>0</v>
      </c>
      <c r="C104" s="67">
        <f>arrears!C88</f>
        <v>0</v>
      </c>
      <c r="D104" s="68">
        <f>IF(C104&lt;=(G103+B104),C104,IF(C104&lt;=(G103+B104+I103),B104+G103,IF(C104&gt;SUM(G103+B104+I103),(C104-I103),0)))</f>
        <v>0</v>
      </c>
      <c r="E104" s="67">
        <f t="shared" si="13"/>
        <v>0</v>
      </c>
      <c r="F104" s="69">
        <f t="shared" si="14"/>
        <v>0</v>
      </c>
      <c r="G104" s="156">
        <f>IF(J103="b",0,IF(J104="b",(G103+F104),IF(J104="s",(($M$6)+F104),IF(J104="j",$M$6,IF(J103="e",0,IF(J104="z",0,(G103+F104)))))))</f>
        <v>0</v>
      </c>
      <c r="H104" s="157">
        <f>IF(G104&lt;=0,0,IF(J104="s",0,IF(J104="n",0,IF(J104="e",(G104*$L$103),IF(J104="b",0,IF(J104="j",0,SUM(G104*$L$103)))))))</f>
        <v>0</v>
      </c>
      <c r="I104" s="157">
        <f t="shared" ref="I104:I114" si="15">IF(J103="b",0,IF(J104="s",(Surcharge-E104+H104),IF(J104="j",0,IF(J103="e",0,(I103-E104+H104)))))</f>
        <v>0</v>
      </c>
      <c r="J104" s="35" t="s">
        <v>26</v>
      </c>
      <c r="K104" t="s">
        <v>26</v>
      </c>
      <c r="L104" s="99" t="s">
        <v>26</v>
      </c>
    </row>
    <row r="105" spans="1:12" ht="13.8" thickBot="1" x14ac:dyDescent="0.3">
      <c r="A105" s="3" t="s">
        <v>9</v>
      </c>
      <c r="B105" s="67">
        <f>arrears!B89</f>
        <v>0</v>
      </c>
      <c r="C105" s="67">
        <f>arrears!C89</f>
        <v>0</v>
      </c>
      <c r="D105" s="68">
        <f t="shared" ref="D105:D114" si="16">IF(C105&lt;=(G104+B105),C105,IF(C105&lt;=(G104+B105+I104),B105+G104,IF(C105&gt;SUM(G104+B105+I104),(C105-I104),0)))</f>
        <v>0</v>
      </c>
      <c r="E105" s="67">
        <f t="shared" si="13"/>
        <v>0</v>
      </c>
      <c r="F105" s="69">
        <f t="shared" si="14"/>
        <v>0</v>
      </c>
      <c r="G105" s="156">
        <f t="shared" ref="G105:G114" si="17">IF(J104="b",0,IF(J105="b",(G104+F105),IF(J105="s",(($M$6)+F105),IF(J105="j",$M$6,IF(J104="e",0,IF(J105="z",0,(G104+F105)))))))</f>
        <v>0</v>
      </c>
      <c r="H105" s="157">
        <f t="shared" ref="H105:H114" si="18">IF(G105&lt;=0,0,IF(J105="s",0,IF(J105="n",0,IF(J105="e",(G105*$L$103),IF(J105="b",0,IF(J105="j",0,SUM(G105*$L$103)))))))</f>
        <v>0</v>
      </c>
      <c r="I105" s="157">
        <f t="shared" si="15"/>
        <v>0</v>
      </c>
      <c r="J105" s="35" t="s">
        <v>26</v>
      </c>
      <c r="K105" t="s">
        <v>26</v>
      </c>
      <c r="L105" s="99" t="s">
        <v>26</v>
      </c>
    </row>
    <row r="106" spans="1:12" ht="13.8" thickBot="1" x14ac:dyDescent="0.3">
      <c r="A106" s="3" t="s">
        <v>10</v>
      </c>
      <c r="B106" s="67">
        <f>arrears!B90</f>
        <v>0</v>
      </c>
      <c r="C106" s="67">
        <f>arrears!C90</f>
        <v>0</v>
      </c>
      <c r="D106" s="68">
        <f t="shared" si="16"/>
        <v>0</v>
      </c>
      <c r="E106" s="67">
        <f t="shared" si="13"/>
        <v>0</v>
      </c>
      <c r="F106" s="69">
        <f t="shared" si="14"/>
        <v>0</v>
      </c>
      <c r="G106" s="156">
        <f t="shared" si="17"/>
        <v>0</v>
      </c>
      <c r="H106" s="157">
        <f t="shared" si="18"/>
        <v>0</v>
      </c>
      <c r="I106" s="157">
        <f t="shared" si="15"/>
        <v>0</v>
      </c>
      <c r="J106" s="35" t="s">
        <v>26</v>
      </c>
      <c r="K106" t="s">
        <v>26</v>
      </c>
      <c r="L106" s="99" t="s">
        <v>26</v>
      </c>
    </row>
    <row r="107" spans="1:12" ht="13.8" thickBot="1" x14ac:dyDescent="0.3">
      <c r="A107" s="3" t="s">
        <v>11</v>
      </c>
      <c r="B107" s="67">
        <f>arrears!B91</f>
        <v>0</v>
      </c>
      <c r="C107" s="67">
        <f>arrears!C91</f>
        <v>0</v>
      </c>
      <c r="D107" s="68">
        <f t="shared" si="16"/>
        <v>0</v>
      </c>
      <c r="E107" s="67">
        <f t="shared" si="13"/>
        <v>0</v>
      </c>
      <c r="F107" s="69">
        <f t="shared" si="14"/>
        <v>0</v>
      </c>
      <c r="G107" s="156">
        <f t="shared" si="17"/>
        <v>0</v>
      </c>
      <c r="H107" s="157">
        <f t="shared" si="18"/>
        <v>0</v>
      </c>
      <c r="I107" s="157">
        <f t="shared" si="15"/>
        <v>0</v>
      </c>
      <c r="J107" s="35" t="s">
        <v>26</v>
      </c>
      <c r="L107" s="99" t="s">
        <v>36</v>
      </c>
    </row>
    <row r="108" spans="1:12" ht="13.8" thickBot="1" x14ac:dyDescent="0.3">
      <c r="A108" s="3" t="s">
        <v>12</v>
      </c>
      <c r="B108" s="67">
        <f>arrears!B92</f>
        <v>0</v>
      </c>
      <c r="C108" s="67">
        <f>arrears!C92</f>
        <v>0</v>
      </c>
      <c r="D108" s="68">
        <f t="shared" si="16"/>
        <v>0</v>
      </c>
      <c r="E108" s="67">
        <f t="shared" si="13"/>
        <v>0</v>
      </c>
      <c r="F108" s="69">
        <f t="shared" si="14"/>
        <v>0</v>
      </c>
      <c r="G108" s="156">
        <f t="shared" si="17"/>
        <v>0</v>
      </c>
      <c r="H108" s="157">
        <f t="shared" si="18"/>
        <v>0</v>
      </c>
      <c r="I108" s="157">
        <f t="shared" si="15"/>
        <v>0</v>
      </c>
      <c r="J108" s="35" t="s">
        <v>26</v>
      </c>
      <c r="L108" s="99" t="s">
        <v>26</v>
      </c>
    </row>
    <row r="109" spans="1:12" ht="13.8" thickBot="1" x14ac:dyDescent="0.3">
      <c r="A109" s="3" t="s">
        <v>13</v>
      </c>
      <c r="B109" s="67">
        <f>arrears!B93</f>
        <v>0</v>
      </c>
      <c r="C109" s="67">
        <f>arrears!C93</f>
        <v>0</v>
      </c>
      <c r="D109" s="68">
        <f t="shared" si="16"/>
        <v>0</v>
      </c>
      <c r="E109" s="67">
        <f t="shared" si="13"/>
        <v>0</v>
      </c>
      <c r="F109" s="69">
        <f t="shared" si="14"/>
        <v>0</v>
      </c>
      <c r="G109" s="156">
        <f t="shared" si="17"/>
        <v>0</v>
      </c>
      <c r="H109" s="157">
        <f t="shared" si="18"/>
        <v>0</v>
      </c>
      <c r="I109" s="157">
        <f t="shared" si="15"/>
        <v>0</v>
      </c>
      <c r="J109" s="35" t="s">
        <v>26</v>
      </c>
      <c r="L109" s="99" t="s">
        <v>26</v>
      </c>
    </row>
    <row r="110" spans="1:12" ht="13.8" thickBot="1" x14ac:dyDescent="0.3">
      <c r="A110" s="3" t="s">
        <v>14</v>
      </c>
      <c r="B110" s="67">
        <f>arrears!B94</f>
        <v>0</v>
      </c>
      <c r="C110" s="67">
        <f>arrears!C94</f>
        <v>0</v>
      </c>
      <c r="D110" s="68">
        <f t="shared" si="16"/>
        <v>0</v>
      </c>
      <c r="E110" s="67">
        <f t="shared" si="13"/>
        <v>0</v>
      </c>
      <c r="F110" s="69">
        <f t="shared" si="14"/>
        <v>0</v>
      </c>
      <c r="G110" s="156">
        <f t="shared" si="17"/>
        <v>0</v>
      </c>
      <c r="H110" s="157">
        <f t="shared" si="18"/>
        <v>0</v>
      </c>
      <c r="I110" s="157">
        <f t="shared" si="15"/>
        <v>0</v>
      </c>
      <c r="L110" s="99" t="s">
        <v>26</v>
      </c>
    </row>
    <row r="111" spans="1:12" ht="13.8" thickBot="1" x14ac:dyDescent="0.3">
      <c r="A111" s="3" t="s">
        <v>15</v>
      </c>
      <c r="B111" s="67">
        <f>arrears!B95</f>
        <v>0</v>
      </c>
      <c r="C111" s="67">
        <f>arrears!C95</f>
        <v>0</v>
      </c>
      <c r="D111" s="68">
        <f t="shared" si="16"/>
        <v>0</v>
      </c>
      <c r="E111" s="67">
        <f t="shared" si="13"/>
        <v>0</v>
      </c>
      <c r="F111" s="69">
        <f t="shared" si="14"/>
        <v>0</v>
      </c>
      <c r="G111" s="156">
        <f t="shared" si="17"/>
        <v>0</v>
      </c>
      <c r="H111" s="157">
        <f t="shared" si="18"/>
        <v>0</v>
      </c>
      <c r="I111" s="157">
        <f t="shared" si="15"/>
        <v>0</v>
      </c>
      <c r="L111" s="99" t="s">
        <v>26</v>
      </c>
    </row>
    <row r="112" spans="1:12" ht="13.8" thickBot="1" x14ac:dyDescent="0.3">
      <c r="A112" s="3" t="s">
        <v>16</v>
      </c>
      <c r="B112" s="67">
        <f>arrears!B96</f>
        <v>0</v>
      </c>
      <c r="C112" s="67">
        <f>arrears!C96</f>
        <v>0</v>
      </c>
      <c r="D112" s="68">
        <f t="shared" si="16"/>
        <v>0</v>
      </c>
      <c r="E112" s="67">
        <f t="shared" si="13"/>
        <v>0</v>
      </c>
      <c r="F112" s="69">
        <f t="shared" si="14"/>
        <v>0</v>
      </c>
      <c r="G112" s="156">
        <f t="shared" si="17"/>
        <v>0</v>
      </c>
      <c r="H112" s="157">
        <f t="shared" si="18"/>
        <v>0</v>
      </c>
      <c r="I112" s="157">
        <f t="shared" si="15"/>
        <v>0</v>
      </c>
      <c r="J112" s="35" t="s">
        <v>26</v>
      </c>
      <c r="L112" s="99" t="s">
        <v>26</v>
      </c>
    </row>
    <row r="113" spans="1:12" ht="13.8" thickBot="1" x14ac:dyDescent="0.3">
      <c r="A113" s="3" t="s">
        <v>17</v>
      </c>
      <c r="B113" s="67">
        <f>arrears!B97</f>
        <v>0</v>
      </c>
      <c r="C113" s="67">
        <f>arrears!C97</f>
        <v>0</v>
      </c>
      <c r="D113" s="68">
        <f t="shared" si="16"/>
        <v>0</v>
      </c>
      <c r="E113" s="67">
        <f t="shared" si="13"/>
        <v>0</v>
      </c>
      <c r="F113" s="69">
        <f t="shared" si="14"/>
        <v>0</v>
      </c>
      <c r="G113" s="156">
        <f t="shared" si="17"/>
        <v>0</v>
      </c>
      <c r="H113" s="157">
        <f t="shared" si="18"/>
        <v>0</v>
      </c>
      <c r="I113" s="157">
        <f t="shared" si="15"/>
        <v>0</v>
      </c>
      <c r="J113" s="35" t="s">
        <v>26</v>
      </c>
      <c r="L113" s="99" t="s">
        <v>26</v>
      </c>
    </row>
    <row r="114" spans="1:12" ht="13.8" thickBot="1" x14ac:dyDescent="0.3">
      <c r="A114" s="3" t="s">
        <v>18</v>
      </c>
      <c r="B114" s="67">
        <f>arrears!B98</f>
        <v>0</v>
      </c>
      <c r="C114" s="67">
        <f>arrears!C98</f>
        <v>0</v>
      </c>
      <c r="D114" s="68">
        <f t="shared" si="16"/>
        <v>0</v>
      </c>
      <c r="E114" s="67">
        <f t="shared" si="13"/>
        <v>0</v>
      </c>
      <c r="F114" s="69">
        <f t="shared" si="14"/>
        <v>0</v>
      </c>
      <c r="G114" s="156">
        <f t="shared" si="17"/>
        <v>0</v>
      </c>
      <c r="H114" s="157">
        <f t="shared" si="18"/>
        <v>0</v>
      </c>
      <c r="I114" s="157">
        <f t="shared" si="15"/>
        <v>0</v>
      </c>
      <c r="J114" s="35" t="s">
        <v>26</v>
      </c>
      <c r="L114" s="99" t="s">
        <v>26</v>
      </c>
    </row>
    <row r="115" spans="1:12" ht="13.8" thickBot="1" x14ac:dyDescent="0.3">
      <c r="A115" s="7" t="s">
        <v>19</v>
      </c>
      <c r="B115" s="72">
        <f>SUM(B103:B114)</f>
        <v>0</v>
      </c>
      <c r="C115" s="72">
        <f>SUM(C103:C114)</f>
        <v>0</v>
      </c>
      <c r="D115" s="72">
        <f>SUM(D103:D114)</f>
        <v>0</v>
      </c>
      <c r="E115" s="73">
        <f>SUM(E103:E114)</f>
        <v>0</v>
      </c>
      <c r="F115" s="73">
        <f>SUM(F103:F114)</f>
        <v>0</v>
      </c>
      <c r="G115" s="71" t="s">
        <v>26</v>
      </c>
      <c r="H115" s="74">
        <f xml:space="preserve"> SUM(H103:H114)</f>
        <v>0</v>
      </c>
      <c r="I115" s="75"/>
    </row>
    <row r="116" spans="1:12" x14ac:dyDescent="0.25">
      <c r="A116" s="207">
        <f>arrears!A100</f>
        <v>0</v>
      </c>
    </row>
    <row r="117" spans="1:12" x14ac:dyDescent="0.25">
      <c r="A117" s="207">
        <f>arrears!A101</f>
        <v>0</v>
      </c>
    </row>
    <row r="118" spans="1:12" x14ac:dyDescent="0.25">
      <c r="A118" s="207">
        <f>arrears!A102</f>
        <v>0</v>
      </c>
    </row>
    <row r="119" spans="1:12" x14ac:dyDescent="0.25">
      <c r="A119" s="207">
        <f>arrears!A103</f>
        <v>0</v>
      </c>
    </row>
    <row r="120" spans="1:12" x14ac:dyDescent="0.25">
      <c r="A120" s="18"/>
      <c r="B120" s="18"/>
      <c r="C120" s="18"/>
      <c r="D120" s="18"/>
      <c r="E120" s="18"/>
      <c r="F120" s="17"/>
      <c r="G120" s="18"/>
      <c r="H120" s="18"/>
      <c r="I120" s="17"/>
    </row>
    <row r="121" spans="1:12" x14ac:dyDescent="0.25">
      <c r="A121" s="18"/>
      <c r="B121" s="18"/>
      <c r="C121" s="18"/>
      <c r="D121" s="18"/>
      <c r="E121" s="18"/>
      <c r="F121" s="17"/>
      <c r="G121" s="18"/>
      <c r="H121" s="18"/>
      <c r="I121" s="17"/>
    </row>
    <row r="122" spans="1:12" x14ac:dyDescent="0.25">
      <c r="A122" s="2"/>
      <c r="B122" s="6" t="s">
        <v>0</v>
      </c>
      <c r="C122" s="63" t="str">
        <f>$C$3</f>
        <v xml:space="preserve"> </v>
      </c>
      <c r="D122" s="1"/>
      <c r="E122" s="1"/>
      <c r="F122" s="6" t="s">
        <v>53</v>
      </c>
      <c r="G122" s="63" t="str">
        <f>$G$3</f>
        <v xml:space="preserve"> </v>
      </c>
      <c r="H122" s="18"/>
      <c r="I122" s="17"/>
    </row>
    <row r="123" spans="1:12" x14ac:dyDescent="0.25">
      <c r="A123" s="2"/>
      <c r="B123" s="6" t="s">
        <v>1</v>
      </c>
      <c r="C123" s="63" t="str">
        <f>$C$4</f>
        <v xml:space="preserve"> </v>
      </c>
      <c r="D123" s="1"/>
      <c r="E123" s="1"/>
      <c r="F123" s="6" t="s">
        <v>26</v>
      </c>
      <c r="G123" s="1" t="s">
        <v>26</v>
      </c>
      <c r="H123" s="18"/>
      <c r="I123" s="17"/>
    </row>
    <row r="124" spans="1:12" x14ac:dyDescent="0.25">
      <c r="A124" s="18"/>
      <c r="B124" s="18"/>
      <c r="C124" s="18"/>
      <c r="D124" s="18"/>
      <c r="E124" s="18"/>
      <c r="F124" s="17"/>
      <c r="G124" s="18"/>
      <c r="H124" s="18"/>
      <c r="I124" s="17"/>
    </row>
    <row r="125" spans="1:12" ht="13.8" thickBot="1" x14ac:dyDescent="0.3">
      <c r="A125" s="18"/>
      <c r="B125" s="18"/>
      <c r="C125" s="18"/>
      <c r="D125" s="18"/>
      <c r="E125" s="18"/>
      <c r="F125" s="17"/>
      <c r="G125" s="18"/>
      <c r="H125" s="18"/>
      <c r="I125" s="17"/>
    </row>
    <row r="126" spans="1:12" ht="13.8" thickBot="1" x14ac:dyDescent="0.3">
      <c r="A126" s="4" t="s">
        <v>2</v>
      </c>
      <c r="B126" s="65" t="str">
        <f>arrears!G85</f>
        <v xml:space="preserve"> </v>
      </c>
      <c r="C126" s="12" t="s">
        <v>35</v>
      </c>
      <c r="D126" s="12" t="s">
        <v>5</v>
      </c>
      <c r="E126" s="12" t="s">
        <v>5</v>
      </c>
      <c r="F126" s="12" t="s">
        <v>46</v>
      </c>
      <c r="G126" s="12" t="s">
        <v>29</v>
      </c>
      <c r="H126" s="14" t="s">
        <v>27</v>
      </c>
      <c r="I126" s="14" t="s">
        <v>29</v>
      </c>
      <c r="L126" s="215" t="s">
        <v>31</v>
      </c>
    </row>
    <row r="127" spans="1:12" ht="13.8" thickBot="1" x14ac:dyDescent="0.3">
      <c r="A127" s="4" t="s">
        <v>3</v>
      </c>
      <c r="B127" s="4" t="s">
        <v>4</v>
      </c>
      <c r="C127" s="13" t="s">
        <v>34</v>
      </c>
      <c r="D127" s="13" t="s">
        <v>30</v>
      </c>
      <c r="E127" s="13" t="s">
        <v>27</v>
      </c>
      <c r="F127" s="13" t="s">
        <v>47</v>
      </c>
      <c r="G127" s="13" t="s">
        <v>33</v>
      </c>
      <c r="H127" s="15" t="s">
        <v>34</v>
      </c>
      <c r="I127" s="15" t="s">
        <v>31</v>
      </c>
      <c r="L127" s="216" t="s">
        <v>124</v>
      </c>
    </row>
    <row r="128" spans="1:12" ht="13.8" thickBot="1" x14ac:dyDescent="0.3">
      <c r="A128" s="3" t="s">
        <v>7</v>
      </c>
      <c r="B128" s="67">
        <f>arrears!G87</f>
        <v>0</v>
      </c>
      <c r="C128" s="67">
        <f>arrears!H87</f>
        <v>0</v>
      </c>
      <c r="D128" s="68">
        <f>IF(C128&lt;=(G114+B128),C128,IF(C128&lt;=SUM(G114+B128+I114),(B128+G114),IF(C128&gt;=SUM(G114+B128+II114),(C128-I114),0)))</f>
        <v>0</v>
      </c>
      <c r="E128" s="67">
        <f t="shared" ref="E128:E139" si="19">IF(C128=D128,0,IF(C128&lt;&gt;D128,(C128-D128)))</f>
        <v>0</v>
      </c>
      <c r="F128" s="69">
        <f t="shared" ref="F128:F139" si="20">B128-D128</f>
        <v>0</v>
      </c>
      <c r="G128" s="70">
        <f>IF(J114="b",0,IF(J128="b",(G114+F128),IF(J128="s",(($M$6)+F128),IF(J128="j",$M$6,IF(J114="e",0,IF(J128="z",0,(G114+F128)))))))</f>
        <v>0</v>
      </c>
      <c r="H128" s="157">
        <f>IF(G128&lt;=0,0,IF(J128="s",0,IF(J128="n",0,IF(J128="e",(G128*$L$128),IF(J128="b",0,IF(J128="j",0,SUM(G128*$L$128)))))))</f>
        <v>0</v>
      </c>
      <c r="I128" s="71">
        <f>IF(J114="b",0,IF(J128="s",(Surcharge-E128+H128),IF(J128="j",0,IF(J114="e",0,(I114-E128+H128)))))</f>
        <v>0</v>
      </c>
      <c r="J128" s="35" t="s">
        <v>26</v>
      </c>
      <c r="L128" s="99">
        <f>IF(B126&lt;2012,0.01,0.005)</f>
        <v>5.0000000000000001E-3</v>
      </c>
    </row>
    <row r="129" spans="1:12" ht="13.8" thickBot="1" x14ac:dyDescent="0.3">
      <c r="A129" s="3" t="s">
        <v>8</v>
      </c>
      <c r="B129" s="67">
        <f>arrears!G88</f>
        <v>0</v>
      </c>
      <c r="C129" s="67">
        <f>arrears!H88</f>
        <v>0</v>
      </c>
      <c r="D129" s="68">
        <f>IF(C129&lt;=(G128+B129),C129,IF(C129&lt;=(G128+B129+I128),B129+G128,IF(C129&gt;SUM(G128+B129+I128),(C129-I128),0)))</f>
        <v>0</v>
      </c>
      <c r="E129" s="67">
        <f t="shared" si="19"/>
        <v>0</v>
      </c>
      <c r="F129" s="69">
        <f t="shared" si="20"/>
        <v>0</v>
      </c>
      <c r="G129" s="156">
        <f>IF(J128="b",0,IF(J129="b",(G128+F129),IF(J129="s",(($M$6)+F129),IF(J129="j",$M$6,IF(J128="e",0,IF(J129="z",0,(G128+F129)))))))</f>
        <v>0</v>
      </c>
      <c r="H129" s="157">
        <f>IF(G129&lt;=0,0,IF(J129="s",0,IF(J129="n",0,IF(J129="e",(G129*$L$128),IF(J129="b",0,IF(J129="j",0,SUM(G129*$L$128)))))))</f>
        <v>0</v>
      </c>
      <c r="I129" s="157">
        <f t="shared" ref="I129:I139" si="21">IF(J128="b",0,IF(J129="s",(Surcharge-E129+H129),IF(J129="j",0,IF(J128="e",0,(I128-E129+H129)))))</f>
        <v>0</v>
      </c>
      <c r="J129" s="35" t="s">
        <v>26</v>
      </c>
      <c r="L129" s="99" t="s">
        <v>26</v>
      </c>
    </row>
    <row r="130" spans="1:12" ht="13.8" thickBot="1" x14ac:dyDescent="0.3">
      <c r="A130" s="3" t="s">
        <v>9</v>
      </c>
      <c r="B130" s="67">
        <f>arrears!G89</f>
        <v>0</v>
      </c>
      <c r="C130" s="67">
        <f>arrears!H89</f>
        <v>0</v>
      </c>
      <c r="D130" s="68">
        <f t="shared" ref="D130:D139" si="22">IF(C130&lt;=(G129+B130),C130,IF(C130&lt;=(G129+B130+I129),B130+G129,IF(C130&gt;SUM(G129+B130+I129),(C130-I129),0)))</f>
        <v>0</v>
      </c>
      <c r="E130" s="67">
        <f t="shared" si="19"/>
        <v>0</v>
      </c>
      <c r="F130" s="69">
        <f t="shared" si="20"/>
        <v>0</v>
      </c>
      <c r="G130" s="156">
        <f t="shared" ref="G130:G139" si="23">IF(J129="b",0,IF(J130="b",(G129+F130),IF(J130="s",(($M$6)+F130),IF(J130="j",$M$6,IF(J129="e",0,IF(J130="z",0,(G129+F130)))))))</f>
        <v>0</v>
      </c>
      <c r="H130" s="157">
        <f t="shared" ref="H130:H139" si="24">IF(G130&lt;=0,0,IF(J130="s",0,IF(J130="n",0,IF(J130="e",(G130*$L$128),IF(J130="b",0,IF(J130="j",0,SUM(G130*$L$128)))))))</f>
        <v>0</v>
      </c>
      <c r="I130" s="157">
        <f t="shared" si="21"/>
        <v>0</v>
      </c>
      <c r="J130" s="35" t="s">
        <v>26</v>
      </c>
      <c r="L130" s="99" t="s">
        <v>26</v>
      </c>
    </row>
    <row r="131" spans="1:12" ht="13.8" thickBot="1" x14ac:dyDescent="0.3">
      <c r="A131" s="3" t="s">
        <v>10</v>
      </c>
      <c r="B131" s="67">
        <f>arrears!G90</f>
        <v>0</v>
      </c>
      <c r="C131" s="67">
        <f>arrears!H90</f>
        <v>0</v>
      </c>
      <c r="D131" s="68">
        <f t="shared" si="22"/>
        <v>0</v>
      </c>
      <c r="E131" s="67">
        <f t="shared" si="19"/>
        <v>0</v>
      </c>
      <c r="F131" s="69">
        <f t="shared" si="20"/>
        <v>0</v>
      </c>
      <c r="G131" s="156">
        <f t="shared" si="23"/>
        <v>0</v>
      </c>
      <c r="H131" s="157">
        <f t="shared" si="24"/>
        <v>0</v>
      </c>
      <c r="I131" s="157">
        <f t="shared" si="21"/>
        <v>0</v>
      </c>
      <c r="L131" s="99" t="s">
        <v>26</v>
      </c>
    </row>
    <row r="132" spans="1:12" ht="13.8" thickBot="1" x14ac:dyDescent="0.3">
      <c r="A132" s="3" t="s">
        <v>11</v>
      </c>
      <c r="B132" s="67">
        <f>arrears!G91</f>
        <v>0</v>
      </c>
      <c r="C132" s="67">
        <f>arrears!H91</f>
        <v>0</v>
      </c>
      <c r="D132" s="68">
        <f t="shared" si="22"/>
        <v>0</v>
      </c>
      <c r="E132" s="67">
        <f t="shared" si="19"/>
        <v>0</v>
      </c>
      <c r="F132" s="69">
        <f t="shared" si="20"/>
        <v>0</v>
      </c>
      <c r="G132" s="156">
        <f t="shared" si="23"/>
        <v>0</v>
      </c>
      <c r="H132" s="157">
        <f t="shared" si="24"/>
        <v>0</v>
      </c>
      <c r="I132" s="157">
        <f t="shared" si="21"/>
        <v>0</v>
      </c>
      <c r="L132" s="99" t="s">
        <v>26</v>
      </c>
    </row>
    <row r="133" spans="1:12" ht="13.8" thickBot="1" x14ac:dyDescent="0.3">
      <c r="A133" s="3" t="s">
        <v>12</v>
      </c>
      <c r="B133" s="67">
        <f>arrears!G92</f>
        <v>0</v>
      </c>
      <c r="C133" s="67">
        <f>arrears!H92</f>
        <v>0</v>
      </c>
      <c r="D133" s="68">
        <f t="shared" si="22"/>
        <v>0</v>
      </c>
      <c r="E133" s="67">
        <f t="shared" si="19"/>
        <v>0</v>
      </c>
      <c r="F133" s="69">
        <f t="shared" si="20"/>
        <v>0</v>
      </c>
      <c r="G133" s="156">
        <f t="shared" si="23"/>
        <v>0</v>
      </c>
      <c r="H133" s="157">
        <f t="shared" si="24"/>
        <v>0</v>
      </c>
      <c r="I133" s="157">
        <f t="shared" si="21"/>
        <v>0</v>
      </c>
      <c r="L133" s="99" t="s">
        <v>26</v>
      </c>
    </row>
    <row r="134" spans="1:12" ht="13.8" thickBot="1" x14ac:dyDescent="0.3">
      <c r="A134" s="3" t="s">
        <v>13</v>
      </c>
      <c r="B134" s="67">
        <f>arrears!G93</f>
        <v>0</v>
      </c>
      <c r="C134" s="67">
        <f>arrears!H93</f>
        <v>0</v>
      </c>
      <c r="D134" s="68">
        <f t="shared" si="22"/>
        <v>0</v>
      </c>
      <c r="E134" s="67">
        <f t="shared" si="19"/>
        <v>0</v>
      </c>
      <c r="F134" s="69">
        <f t="shared" si="20"/>
        <v>0</v>
      </c>
      <c r="G134" s="156">
        <f t="shared" si="23"/>
        <v>0</v>
      </c>
      <c r="H134" s="157">
        <f t="shared" si="24"/>
        <v>0</v>
      </c>
      <c r="I134" s="157">
        <f t="shared" si="21"/>
        <v>0</v>
      </c>
      <c r="L134" s="99" t="s">
        <v>26</v>
      </c>
    </row>
    <row r="135" spans="1:12" ht="13.8" thickBot="1" x14ac:dyDescent="0.3">
      <c r="A135" s="3" t="s">
        <v>14</v>
      </c>
      <c r="B135" s="67">
        <f>arrears!G94</f>
        <v>0</v>
      </c>
      <c r="C135" s="67">
        <f>arrears!H94</f>
        <v>0</v>
      </c>
      <c r="D135" s="68">
        <f t="shared" si="22"/>
        <v>0</v>
      </c>
      <c r="E135" s="67">
        <f t="shared" si="19"/>
        <v>0</v>
      </c>
      <c r="F135" s="69">
        <f t="shared" si="20"/>
        <v>0</v>
      </c>
      <c r="G135" s="156">
        <f t="shared" si="23"/>
        <v>0</v>
      </c>
      <c r="H135" s="157">
        <f t="shared" si="24"/>
        <v>0</v>
      </c>
      <c r="I135" s="157">
        <f t="shared" si="21"/>
        <v>0</v>
      </c>
      <c r="L135" s="99" t="s">
        <v>26</v>
      </c>
    </row>
    <row r="136" spans="1:12" ht="13.8" thickBot="1" x14ac:dyDescent="0.3">
      <c r="A136" s="3" t="s">
        <v>15</v>
      </c>
      <c r="B136" s="67">
        <f>arrears!G95</f>
        <v>0</v>
      </c>
      <c r="C136" s="67">
        <f>arrears!H95</f>
        <v>0</v>
      </c>
      <c r="D136" s="68">
        <f t="shared" si="22"/>
        <v>0</v>
      </c>
      <c r="E136" s="67">
        <f t="shared" si="19"/>
        <v>0</v>
      </c>
      <c r="F136" s="69">
        <f t="shared" si="20"/>
        <v>0</v>
      </c>
      <c r="G136" s="156">
        <f t="shared" si="23"/>
        <v>0</v>
      </c>
      <c r="H136" s="157">
        <f t="shared" si="24"/>
        <v>0</v>
      </c>
      <c r="I136" s="157">
        <f t="shared" si="21"/>
        <v>0</v>
      </c>
      <c r="L136" s="99" t="s">
        <v>26</v>
      </c>
    </row>
    <row r="137" spans="1:12" ht="13.8" thickBot="1" x14ac:dyDescent="0.3">
      <c r="A137" s="3" t="s">
        <v>16</v>
      </c>
      <c r="B137" s="67">
        <f>arrears!G96</f>
        <v>0</v>
      </c>
      <c r="C137" s="67">
        <f>arrears!H96</f>
        <v>0</v>
      </c>
      <c r="D137" s="68">
        <f t="shared" si="22"/>
        <v>0</v>
      </c>
      <c r="E137" s="67">
        <f t="shared" si="19"/>
        <v>0</v>
      </c>
      <c r="F137" s="69">
        <f t="shared" si="20"/>
        <v>0</v>
      </c>
      <c r="G137" s="156">
        <f t="shared" si="23"/>
        <v>0</v>
      </c>
      <c r="H137" s="157">
        <f t="shared" si="24"/>
        <v>0</v>
      </c>
      <c r="I137" s="157">
        <f t="shared" si="21"/>
        <v>0</v>
      </c>
      <c r="L137" s="99" t="s">
        <v>26</v>
      </c>
    </row>
    <row r="138" spans="1:12" ht="13.8" thickBot="1" x14ac:dyDescent="0.3">
      <c r="A138" s="3" t="s">
        <v>17</v>
      </c>
      <c r="B138" s="67">
        <f>arrears!G97</f>
        <v>0</v>
      </c>
      <c r="C138" s="67">
        <f>arrears!H97</f>
        <v>0</v>
      </c>
      <c r="D138" s="68">
        <f t="shared" si="22"/>
        <v>0</v>
      </c>
      <c r="E138" s="67">
        <f t="shared" si="19"/>
        <v>0</v>
      </c>
      <c r="F138" s="69">
        <f t="shared" si="20"/>
        <v>0</v>
      </c>
      <c r="G138" s="156">
        <f t="shared" si="23"/>
        <v>0</v>
      </c>
      <c r="H138" s="157">
        <f t="shared" si="24"/>
        <v>0</v>
      </c>
      <c r="I138" s="157">
        <f t="shared" si="21"/>
        <v>0</v>
      </c>
      <c r="L138" s="99" t="s">
        <v>26</v>
      </c>
    </row>
    <row r="139" spans="1:12" ht="13.8" thickBot="1" x14ac:dyDescent="0.3">
      <c r="A139" s="3" t="s">
        <v>18</v>
      </c>
      <c r="B139" s="67">
        <f>arrears!G98</f>
        <v>0</v>
      </c>
      <c r="C139" s="67">
        <f>arrears!H98</f>
        <v>0</v>
      </c>
      <c r="D139" s="68">
        <f t="shared" si="22"/>
        <v>0</v>
      </c>
      <c r="E139" s="67">
        <f t="shared" si="19"/>
        <v>0</v>
      </c>
      <c r="F139" s="69">
        <f t="shared" si="20"/>
        <v>0</v>
      </c>
      <c r="G139" s="156">
        <f t="shared" si="23"/>
        <v>0</v>
      </c>
      <c r="H139" s="157">
        <f t="shared" si="24"/>
        <v>0</v>
      </c>
      <c r="I139" s="157">
        <f t="shared" si="21"/>
        <v>0</v>
      </c>
      <c r="J139" s="35" t="s">
        <v>26</v>
      </c>
      <c r="L139" s="99" t="s">
        <v>26</v>
      </c>
    </row>
    <row r="140" spans="1:12" ht="13.8" thickBot="1" x14ac:dyDescent="0.3">
      <c r="A140" s="7" t="s">
        <v>19</v>
      </c>
      <c r="B140" s="72">
        <f>SUM(B128:B139)</f>
        <v>0</v>
      </c>
      <c r="C140" s="72">
        <f>SUM(C128:C139)</f>
        <v>0</v>
      </c>
      <c r="D140" s="72">
        <f>SUM(D128:D139)</f>
        <v>0</v>
      </c>
      <c r="E140" s="73">
        <f>SUM(E128:E139)</f>
        <v>0</v>
      </c>
      <c r="F140" s="73">
        <f>SUM(F128:F139)</f>
        <v>0</v>
      </c>
      <c r="G140" s="71" t="s">
        <v>26</v>
      </c>
      <c r="H140" s="74">
        <f xml:space="preserve"> SUM(H128:H139)</f>
        <v>0</v>
      </c>
      <c r="I140" s="75"/>
    </row>
    <row r="141" spans="1:12" x14ac:dyDescent="0.25">
      <c r="A141" s="181">
        <f>arrears!F100</f>
        <v>0</v>
      </c>
    </row>
    <row r="142" spans="1:12" x14ac:dyDescent="0.25">
      <c r="A142" s="181">
        <f>arrears!F101</f>
        <v>0</v>
      </c>
    </row>
    <row r="143" spans="1:12" x14ac:dyDescent="0.25">
      <c r="A143" s="181">
        <f>arrears!F102</f>
        <v>0</v>
      </c>
    </row>
    <row r="144" spans="1:12" ht="13.8" thickBot="1" x14ac:dyDescent="0.3">
      <c r="A144" s="181">
        <f>arrears!F103</f>
        <v>0</v>
      </c>
    </row>
    <row r="145" spans="1:12" ht="13.8" thickBot="1" x14ac:dyDescent="0.3">
      <c r="A145" s="4" t="s">
        <v>2</v>
      </c>
      <c r="B145" s="65" t="str">
        <f>arrears!B115</f>
        <v xml:space="preserve"> </v>
      </c>
      <c r="C145" s="12" t="s">
        <v>35</v>
      </c>
      <c r="D145" s="12" t="s">
        <v>5</v>
      </c>
      <c r="E145" s="12" t="s">
        <v>5</v>
      </c>
      <c r="F145" s="12" t="s">
        <v>46</v>
      </c>
      <c r="G145" s="12" t="s">
        <v>29</v>
      </c>
      <c r="H145" s="14" t="s">
        <v>27</v>
      </c>
      <c r="I145" s="14" t="s">
        <v>29</v>
      </c>
      <c r="L145" s="215" t="s">
        <v>31</v>
      </c>
    </row>
    <row r="146" spans="1:12" ht="13.8" thickBot="1" x14ac:dyDescent="0.3">
      <c r="A146" s="4" t="s">
        <v>3</v>
      </c>
      <c r="B146" s="4" t="s">
        <v>4</v>
      </c>
      <c r="C146" s="13" t="s">
        <v>34</v>
      </c>
      <c r="D146" s="13" t="s">
        <v>30</v>
      </c>
      <c r="E146" s="13" t="s">
        <v>27</v>
      </c>
      <c r="F146" s="13" t="s">
        <v>47</v>
      </c>
      <c r="G146" s="13" t="s">
        <v>33</v>
      </c>
      <c r="H146" s="15" t="s">
        <v>34</v>
      </c>
      <c r="I146" s="15" t="s">
        <v>31</v>
      </c>
      <c r="L146" s="216" t="s">
        <v>124</v>
      </c>
    </row>
    <row r="147" spans="1:12" ht="13.8" thickBot="1" x14ac:dyDescent="0.3">
      <c r="A147" s="3" t="s">
        <v>7</v>
      </c>
      <c r="B147" s="67">
        <f>arrears!B117</f>
        <v>0</v>
      </c>
      <c r="C147" s="67">
        <f>arrears!C117</f>
        <v>0</v>
      </c>
      <c r="D147" s="68">
        <f>IF(C147&lt;=(G139+B147),C147,IF(C147&lt;=SUM(G139+B147+I139),(B147+G139),IF(C147&gt;=SUM(G139+B147+I139),(C147-I139),0)))</f>
        <v>0</v>
      </c>
      <c r="E147" s="67">
        <f t="shared" ref="E147:E158" si="25">IF(C147=D147,0,IF(C147&lt;&gt;D147,(C147-D147)))</f>
        <v>0</v>
      </c>
      <c r="F147" s="69">
        <f t="shared" ref="F147:F158" si="26">B147-D147</f>
        <v>0</v>
      </c>
      <c r="G147" s="156">
        <f>IF(J139="b",0,IF(J147="b",(G139+F147),IF(J147="s",(($M$6)+F147),IF(J147="j",$M$6,IF(J139="e",0,IF(J147="z",0,(G139+F147)))))))</f>
        <v>0</v>
      </c>
      <c r="H147" s="157">
        <f>IF(G147&lt;=0,0,IF(J147="s",0,IF(J147="n",0,IF(J147="e",(G147*$L$147),IF(J147="b",0,IF(J147="j",0,SUM(G147*$L$147)))))))</f>
        <v>0</v>
      </c>
      <c r="I147" s="157">
        <f>IF(J139="b",0,IF(J147="s",(Surcharge-E147+H147),IF(J147="j",0,IF(J139="e",0,(I139-E147+H147)))))</f>
        <v>0</v>
      </c>
      <c r="J147" s="35" t="s">
        <v>26</v>
      </c>
      <c r="L147" s="99">
        <f>IF(B145&lt;2012,0.01,0.005)</f>
        <v>5.0000000000000001E-3</v>
      </c>
    </row>
    <row r="148" spans="1:12" ht="13.8" thickBot="1" x14ac:dyDescent="0.3">
      <c r="A148" s="3" t="s">
        <v>8</v>
      </c>
      <c r="B148" s="67">
        <f>arrears!B118</f>
        <v>0</v>
      </c>
      <c r="C148" s="67">
        <f>arrears!C118</f>
        <v>0</v>
      </c>
      <c r="D148" s="68">
        <f>IF(C148&lt;=(G147+B148),C148,IF(C148&lt;=(G147+B148+I147),B148+G147,IF(C148&gt;SUM(G147+B148+I147),(C148-I147),0)))</f>
        <v>0</v>
      </c>
      <c r="E148" s="67">
        <f t="shared" si="25"/>
        <v>0</v>
      </c>
      <c r="F148" s="69">
        <f t="shared" si="26"/>
        <v>0</v>
      </c>
      <c r="G148" s="156">
        <f>IF(J147="b",0,IF(J148="b",(G147+F148),IF(J148="s",(($M$6)+F148),IF(J148="j",$M$6,IF(J147="e",0,IF(J148="z",0,(G147+F148)))))))</f>
        <v>0</v>
      </c>
      <c r="H148" s="157">
        <f>IF(G148&lt;=0,0,IF(J148="s",0,IF(J148="n",0,IF(J148="e",(G148*$L$147),IF(J148="b",0,IF(J148="j",0,SUM(G148*$L$147)))))))</f>
        <v>0</v>
      </c>
      <c r="I148" s="157">
        <f t="shared" ref="I148:I158" si="27">IF(J147="b",0,IF(J148="s",(Surcharge-E148+H148),IF(J148="j",0,IF(J147="e",0,(I147-E148+H148)))))</f>
        <v>0</v>
      </c>
      <c r="L148" s="99" t="s">
        <v>26</v>
      </c>
    </row>
    <row r="149" spans="1:12" ht="13.8" thickBot="1" x14ac:dyDescent="0.3">
      <c r="A149" s="3" t="s">
        <v>9</v>
      </c>
      <c r="B149" s="67">
        <f>arrears!B119</f>
        <v>0</v>
      </c>
      <c r="C149" s="67">
        <f>arrears!C119</f>
        <v>0</v>
      </c>
      <c r="D149" s="68">
        <f t="shared" ref="D149:D158" si="28">IF(C149&lt;=(G148+B149),C149,IF(C149&lt;=(G148+B149+I148),B149+G148,IF(C149&gt;SUM(G148+B149+I148),(C149-I148),0)))</f>
        <v>0</v>
      </c>
      <c r="E149" s="67">
        <f t="shared" si="25"/>
        <v>0</v>
      </c>
      <c r="F149" s="69">
        <f t="shared" si="26"/>
        <v>0</v>
      </c>
      <c r="G149" s="156">
        <f t="shared" ref="G149:G158" si="29">IF(J148="b",0,IF(J149="b",(G148+F149),IF(J149="s",(($M$6)+F149),IF(J149="j",$M$6,IF(J148="e",0,IF(J149="z",0,(G148+F149)))))))</f>
        <v>0</v>
      </c>
      <c r="H149" s="157">
        <f t="shared" ref="H149:H158" si="30">IF(G149&lt;=0,0,IF(J149="s",0,IF(J149="n",0,IF(J149="e",(G149*$L$147),IF(J149="b",0,IF(J149="j",0,SUM(G149*$L$147)))))))</f>
        <v>0</v>
      </c>
      <c r="I149" s="157">
        <f t="shared" si="27"/>
        <v>0</v>
      </c>
      <c r="L149" s="99" t="s">
        <v>26</v>
      </c>
    </row>
    <row r="150" spans="1:12" ht="13.8" thickBot="1" x14ac:dyDescent="0.3">
      <c r="A150" s="3" t="s">
        <v>10</v>
      </c>
      <c r="B150" s="67">
        <f>arrears!B120</f>
        <v>0</v>
      </c>
      <c r="C150" s="67">
        <f>arrears!C120</f>
        <v>0</v>
      </c>
      <c r="D150" s="68">
        <f t="shared" si="28"/>
        <v>0</v>
      </c>
      <c r="E150" s="67">
        <f t="shared" si="25"/>
        <v>0</v>
      </c>
      <c r="F150" s="69">
        <f t="shared" si="26"/>
        <v>0</v>
      </c>
      <c r="G150" s="156">
        <f t="shared" si="29"/>
        <v>0</v>
      </c>
      <c r="H150" s="157">
        <f t="shared" si="30"/>
        <v>0</v>
      </c>
      <c r="I150" s="157">
        <f t="shared" si="27"/>
        <v>0</v>
      </c>
      <c r="L150" s="99" t="s">
        <v>26</v>
      </c>
    </row>
    <row r="151" spans="1:12" ht="13.8" thickBot="1" x14ac:dyDescent="0.3">
      <c r="A151" s="3" t="s">
        <v>11</v>
      </c>
      <c r="B151" s="67">
        <f>arrears!B121</f>
        <v>0</v>
      </c>
      <c r="C151" s="67">
        <f>arrears!C121</f>
        <v>0</v>
      </c>
      <c r="D151" s="68">
        <f t="shared" si="28"/>
        <v>0</v>
      </c>
      <c r="E151" s="67">
        <f t="shared" si="25"/>
        <v>0</v>
      </c>
      <c r="F151" s="69">
        <f t="shared" si="26"/>
        <v>0</v>
      </c>
      <c r="G151" s="156">
        <f t="shared" si="29"/>
        <v>0</v>
      </c>
      <c r="H151" s="157">
        <f t="shared" si="30"/>
        <v>0</v>
      </c>
      <c r="I151" s="157">
        <f t="shared" si="27"/>
        <v>0</v>
      </c>
      <c r="L151" s="99" t="s">
        <v>26</v>
      </c>
    </row>
    <row r="152" spans="1:12" ht="13.8" thickBot="1" x14ac:dyDescent="0.3">
      <c r="A152" s="3" t="s">
        <v>12</v>
      </c>
      <c r="B152" s="67">
        <f>arrears!B122</f>
        <v>0</v>
      </c>
      <c r="C152" s="67">
        <f>arrears!C122</f>
        <v>0</v>
      </c>
      <c r="D152" s="68">
        <f t="shared" si="28"/>
        <v>0</v>
      </c>
      <c r="E152" s="67">
        <f t="shared" si="25"/>
        <v>0</v>
      </c>
      <c r="F152" s="69">
        <f t="shared" si="26"/>
        <v>0</v>
      </c>
      <c r="G152" s="156">
        <f t="shared" si="29"/>
        <v>0</v>
      </c>
      <c r="H152" s="157">
        <f t="shared" si="30"/>
        <v>0</v>
      </c>
      <c r="I152" s="157">
        <f t="shared" si="27"/>
        <v>0</v>
      </c>
      <c r="L152" s="99" t="s">
        <v>26</v>
      </c>
    </row>
    <row r="153" spans="1:12" ht="13.8" thickBot="1" x14ac:dyDescent="0.3">
      <c r="A153" s="3" t="s">
        <v>13</v>
      </c>
      <c r="B153" s="67">
        <f>arrears!B123</f>
        <v>0</v>
      </c>
      <c r="C153" s="67">
        <f>arrears!C123</f>
        <v>0</v>
      </c>
      <c r="D153" s="68">
        <f t="shared" si="28"/>
        <v>0</v>
      </c>
      <c r="E153" s="67">
        <f t="shared" si="25"/>
        <v>0</v>
      </c>
      <c r="F153" s="69">
        <f t="shared" si="26"/>
        <v>0</v>
      </c>
      <c r="G153" s="156">
        <f t="shared" si="29"/>
        <v>0</v>
      </c>
      <c r="H153" s="157">
        <f t="shared" si="30"/>
        <v>0</v>
      </c>
      <c r="I153" s="157">
        <f t="shared" si="27"/>
        <v>0</v>
      </c>
      <c r="L153" s="99" t="s">
        <v>26</v>
      </c>
    </row>
    <row r="154" spans="1:12" ht="13.8" thickBot="1" x14ac:dyDescent="0.3">
      <c r="A154" s="3" t="s">
        <v>14</v>
      </c>
      <c r="B154" s="67">
        <f>arrears!B124</f>
        <v>0</v>
      </c>
      <c r="C154" s="67">
        <f>arrears!C124</f>
        <v>0</v>
      </c>
      <c r="D154" s="68">
        <f t="shared" si="28"/>
        <v>0</v>
      </c>
      <c r="E154" s="67">
        <f t="shared" si="25"/>
        <v>0</v>
      </c>
      <c r="F154" s="69">
        <f t="shared" si="26"/>
        <v>0</v>
      </c>
      <c r="G154" s="156">
        <f t="shared" si="29"/>
        <v>0</v>
      </c>
      <c r="H154" s="157">
        <f t="shared" si="30"/>
        <v>0</v>
      </c>
      <c r="I154" s="157">
        <f t="shared" si="27"/>
        <v>0</v>
      </c>
      <c r="L154" s="99" t="s">
        <v>26</v>
      </c>
    </row>
    <row r="155" spans="1:12" ht="13.8" thickBot="1" x14ac:dyDescent="0.3">
      <c r="A155" s="3" t="s">
        <v>15</v>
      </c>
      <c r="B155" s="67">
        <f>arrears!B125</f>
        <v>0</v>
      </c>
      <c r="C155" s="67">
        <f>arrears!C125</f>
        <v>0</v>
      </c>
      <c r="D155" s="68">
        <f t="shared" si="28"/>
        <v>0</v>
      </c>
      <c r="E155" s="67">
        <f t="shared" si="25"/>
        <v>0</v>
      </c>
      <c r="F155" s="69">
        <f t="shared" si="26"/>
        <v>0</v>
      </c>
      <c r="G155" s="156">
        <f t="shared" si="29"/>
        <v>0</v>
      </c>
      <c r="H155" s="157">
        <f t="shared" si="30"/>
        <v>0</v>
      </c>
      <c r="I155" s="157">
        <f t="shared" si="27"/>
        <v>0</v>
      </c>
      <c r="L155" s="99" t="s">
        <v>26</v>
      </c>
    </row>
    <row r="156" spans="1:12" ht="13.8" thickBot="1" x14ac:dyDescent="0.3">
      <c r="A156" s="3" t="s">
        <v>16</v>
      </c>
      <c r="B156" s="67">
        <f>arrears!B126</f>
        <v>0</v>
      </c>
      <c r="C156" s="67">
        <f>arrears!C126</f>
        <v>0</v>
      </c>
      <c r="D156" s="68">
        <f t="shared" si="28"/>
        <v>0</v>
      </c>
      <c r="E156" s="67">
        <f t="shared" si="25"/>
        <v>0</v>
      </c>
      <c r="F156" s="69">
        <f t="shared" si="26"/>
        <v>0</v>
      </c>
      <c r="G156" s="156">
        <f t="shared" si="29"/>
        <v>0</v>
      </c>
      <c r="H156" s="157">
        <f t="shared" si="30"/>
        <v>0</v>
      </c>
      <c r="I156" s="157">
        <f t="shared" si="27"/>
        <v>0</v>
      </c>
      <c r="L156" s="99" t="s">
        <v>26</v>
      </c>
    </row>
    <row r="157" spans="1:12" ht="13.8" thickBot="1" x14ac:dyDescent="0.3">
      <c r="A157" s="3" t="s">
        <v>17</v>
      </c>
      <c r="B157" s="67">
        <f>arrears!B127</f>
        <v>0</v>
      </c>
      <c r="C157" s="67">
        <f>arrears!C127</f>
        <v>0</v>
      </c>
      <c r="D157" s="68">
        <f t="shared" si="28"/>
        <v>0</v>
      </c>
      <c r="E157" s="67">
        <f t="shared" si="25"/>
        <v>0</v>
      </c>
      <c r="F157" s="69">
        <f t="shared" si="26"/>
        <v>0</v>
      </c>
      <c r="G157" s="156">
        <f t="shared" si="29"/>
        <v>0</v>
      </c>
      <c r="H157" s="157">
        <f t="shared" si="30"/>
        <v>0</v>
      </c>
      <c r="I157" s="157">
        <f t="shared" si="27"/>
        <v>0</v>
      </c>
      <c r="L157" s="99" t="s">
        <v>26</v>
      </c>
    </row>
    <row r="158" spans="1:12" ht="13.8" thickBot="1" x14ac:dyDescent="0.3">
      <c r="A158" s="3" t="s">
        <v>18</v>
      </c>
      <c r="B158" s="67">
        <f>arrears!B128</f>
        <v>0</v>
      </c>
      <c r="C158" s="67">
        <f>arrears!C128</f>
        <v>0</v>
      </c>
      <c r="D158" s="68">
        <f t="shared" si="28"/>
        <v>0</v>
      </c>
      <c r="E158" s="67">
        <f t="shared" si="25"/>
        <v>0</v>
      </c>
      <c r="F158" s="69">
        <f t="shared" si="26"/>
        <v>0</v>
      </c>
      <c r="G158" s="156">
        <f t="shared" si="29"/>
        <v>0</v>
      </c>
      <c r="H158" s="157">
        <f t="shared" si="30"/>
        <v>0</v>
      </c>
      <c r="I158" s="157">
        <f t="shared" si="27"/>
        <v>0</v>
      </c>
      <c r="J158" s="35" t="s">
        <v>26</v>
      </c>
      <c r="L158" s="99" t="s">
        <v>26</v>
      </c>
    </row>
    <row r="159" spans="1:12" ht="13.8" thickBot="1" x14ac:dyDescent="0.3">
      <c r="A159" s="7" t="s">
        <v>19</v>
      </c>
      <c r="B159" s="72">
        <f>SUM(B147:B158)</f>
        <v>0</v>
      </c>
      <c r="C159" s="72">
        <f>SUM(C147:C158)</f>
        <v>0</v>
      </c>
      <c r="D159" s="72">
        <f>SUM(D147:D158)</f>
        <v>0</v>
      </c>
      <c r="E159" s="73">
        <f>SUM(E147:E158)</f>
        <v>0</v>
      </c>
      <c r="F159" s="73">
        <f>SUM(F147:F158)</f>
        <v>0</v>
      </c>
      <c r="G159" s="71" t="s">
        <v>26</v>
      </c>
      <c r="H159" s="71">
        <f xml:space="preserve"> SUM(H147:H158)</f>
        <v>0</v>
      </c>
      <c r="I159" s="75"/>
    </row>
    <row r="160" spans="1:12" x14ac:dyDescent="0.25">
      <c r="A160" s="207">
        <f>arrears!A130</f>
        <v>0</v>
      </c>
    </row>
    <row r="161" spans="1:12" x14ac:dyDescent="0.25">
      <c r="A161" s="207">
        <f>arrears!A131</f>
        <v>0</v>
      </c>
    </row>
    <row r="162" spans="1:12" x14ac:dyDescent="0.25">
      <c r="A162" s="207">
        <f>arrears!A132</f>
        <v>0</v>
      </c>
    </row>
    <row r="163" spans="1:12" ht="13.8" thickBot="1" x14ac:dyDescent="0.3">
      <c r="A163" s="207">
        <f>arrears!A133</f>
        <v>0</v>
      </c>
    </row>
    <row r="164" spans="1:12" ht="13.8" thickBot="1" x14ac:dyDescent="0.3">
      <c r="A164" s="4" t="s">
        <v>2</v>
      </c>
      <c r="B164" s="65" t="str">
        <f>arrears!G115</f>
        <v xml:space="preserve"> </v>
      </c>
      <c r="C164" s="12" t="s">
        <v>35</v>
      </c>
      <c r="D164" s="12" t="s">
        <v>5</v>
      </c>
      <c r="E164" s="12" t="s">
        <v>5</v>
      </c>
      <c r="F164" s="12" t="s">
        <v>46</v>
      </c>
      <c r="G164" s="12" t="s">
        <v>29</v>
      </c>
      <c r="H164" s="14" t="s">
        <v>27</v>
      </c>
      <c r="I164" s="14" t="s">
        <v>29</v>
      </c>
      <c r="L164" s="215" t="s">
        <v>31</v>
      </c>
    </row>
    <row r="165" spans="1:12" ht="13.8" thickBot="1" x14ac:dyDescent="0.3">
      <c r="A165" s="4" t="s">
        <v>3</v>
      </c>
      <c r="B165" s="4" t="s">
        <v>4</v>
      </c>
      <c r="C165" s="13" t="s">
        <v>34</v>
      </c>
      <c r="D165" s="13" t="s">
        <v>30</v>
      </c>
      <c r="E165" s="13" t="s">
        <v>27</v>
      </c>
      <c r="F165" s="13" t="s">
        <v>47</v>
      </c>
      <c r="G165" s="13" t="s">
        <v>33</v>
      </c>
      <c r="H165" s="15" t="s">
        <v>34</v>
      </c>
      <c r="I165" s="15" t="s">
        <v>31</v>
      </c>
      <c r="L165" s="216" t="s">
        <v>124</v>
      </c>
    </row>
    <row r="166" spans="1:12" ht="13.8" thickBot="1" x14ac:dyDescent="0.3">
      <c r="A166" s="3" t="s">
        <v>7</v>
      </c>
      <c r="B166" s="67">
        <f>arrears!G117</f>
        <v>0</v>
      </c>
      <c r="C166" s="67">
        <f>arrears!H117</f>
        <v>0</v>
      </c>
      <c r="D166" s="68">
        <f>IF(C166&lt;=(G158+B166),C166,IF(C166&lt;=SUM(G158+B166+I158),(B166+G158),IF(C166&gt;SUM(G158+B166+I158),(C166-I158),0)))</f>
        <v>0</v>
      </c>
      <c r="E166" s="67">
        <f t="shared" ref="E166:E177" si="31">IF(C166=D166,0,IF(C166&lt;&gt;D166,(C166-D166)))</f>
        <v>0</v>
      </c>
      <c r="F166" s="69">
        <f t="shared" ref="F166:F177" si="32">B166-D166</f>
        <v>0</v>
      </c>
      <c r="G166" s="156">
        <f>IF(J158="b",0,IF(J166="b",(G158+F166),IF(J166="s",(($M$6)+F166),IF(J166="j",$M$6,IF(J158="e",0,IF(J166="z",0,(G158+F166)))))))</f>
        <v>0</v>
      </c>
      <c r="H166" s="157">
        <f>IF(G166&lt;=0,0,IF(J166="s",0,IF(J166="n",0,IF(J166="e",(G166*$L$166),IF(J166="b",0,IF(J166="j",0,SUM(G166*$L$166)))))))</f>
        <v>0</v>
      </c>
      <c r="I166" s="157">
        <f>IF(J158="b",0,IF(J166="s",(Surcharge-E166+H166),IF(J166="j",0,IF(J158="e",0,(I158-E166+H166)))))</f>
        <v>0</v>
      </c>
      <c r="J166" s="35" t="s">
        <v>26</v>
      </c>
      <c r="L166" s="99">
        <f>IF(B164&lt;2012,0.01,0.005)</f>
        <v>5.0000000000000001E-3</v>
      </c>
    </row>
    <row r="167" spans="1:12" ht="13.8" thickBot="1" x14ac:dyDescent="0.3">
      <c r="A167" s="3" t="s">
        <v>8</v>
      </c>
      <c r="B167" s="67">
        <f>arrears!G118</f>
        <v>0</v>
      </c>
      <c r="C167" s="67">
        <f>arrears!H118</f>
        <v>0</v>
      </c>
      <c r="D167" s="68">
        <f>IF(C167&lt;=(G166+B167),C167,IF(C167&lt;=(G166+B167+I166),B167+G166,IF(C167&gt;SUM(G166+B167+I166),(C167-I166),0)))</f>
        <v>0</v>
      </c>
      <c r="E167" s="67">
        <f t="shared" si="31"/>
        <v>0</v>
      </c>
      <c r="F167" s="69">
        <f t="shared" si="32"/>
        <v>0</v>
      </c>
      <c r="G167" s="156">
        <f>IF(J166="b",0,IF(J167="b",(G166+F167),IF(J167="s",(($M$6)+F167),IF(J167="j",$M$6,IF(J166="e",0,IF(J167="z",0,(G166+F167)))))))</f>
        <v>0</v>
      </c>
      <c r="H167" s="157">
        <f>IF(G167&lt;=0,0,IF(J167="s",0,IF(J167="n",0,IF(J167="e",(G167*$L$166),IF(J167="b",0,IF(J167="j",0,SUM(G167*$L$166)))))))</f>
        <v>0</v>
      </c>
      <c r="I167" s="157">
        <f t="shared" ref="I167:I177" si="33">IF(J166="b",0,IF(J167="s",(Surcharge-E167+H167),IF(J167="j",0,IF(J166="e",0,(I166-E167+H167)))))</f>
        <v>0</v>
      </c>
      <c r="L167" s="99" t="s">
        <v>26</v>
      </c>
    </row>
    <row r="168" spans="1:12" ht="13.8" thickBot="1" x14ac:dyDescent="0.3">
      <c r="A168" s="3" t="s">
        <v>9</v>
      </c>
      <c r="B168" s="67">
        <f>arrears!G119</f>
        <v>0</v>
      </c>
      <c r="C168" s="67">
        <f>arrears!H119</f>
        <v>0</v>
      </c>
      <c r="D168" s="68">
        <f t="shared" ref="D168:D177" si="34">IF(C168&lt;=(G167+B168),C168,IF(C168&lt;=(G167+B168+I167),B168+G167,IF(C168&gt;SUM(G167+B168+I167),(C168-I167),0)))</f>
        <v>0</v>
      </c>
      <c r="E168" s="67">
        <f t="shared" si="31"/>
        <v>0</v>
      </c>
      <c r="F168" s="69">
        <f t="shared" si="32"/>
        <v>0</v>
      </c>
      <c r="G168" s="156">
        <f t="shared" ref="G168:G177" si="35">IF(J167="b",0,IF(J168="b",(G167+F168),IF(J168="s",(($M$6)+F168),IF(J168="j",$M$6,IF(J167="e",0,IF(J168="z",0,(G167+F168)))))))</f>
        <v>0</v>
      </c>
      <c r="H168" s="157">
        <f t="shared" ref="H168:H177" si="36">IF(G168&lt;=0,0,IF(J168="s",0,IF(J168="n",0,IF(J168="e",(G168*$L$166),IF(J168="b",0,IF(J168="j",0,SUM(G168*$L$166)))))))</f>
        <v>0</v>
      </c>
      <c r="I168" s="157">
        <f t="shared" si="33"/>
        <v>0</v>
      </c>
      <c r="L168" s="99" t="s">
        <v>26</v>
      </c>
    </row>
    <row r="169" spans="1:12" ht="13.8" thickBot="1" x14ac:dyDescent="0.3">
      <c r="A169" s="3" t="s">
        <v>10</v>
      </c>
      <c r="B169" s="67">
        <f>arrears!G120</f>
        <v>0</v>
      </c>
      <c r="C169" s="67">
        <f>arrears!H120</f>
        <v>0</v>
      </c>
      <c r="D169" s="68">
        <f t="shared" si="34"/>
        <v>0</v>
      </c>
      <c r="E169" s="67">
        <f t="shared" si="31"/>
        <v>0</v>
      </c>
      <c r="F169" s="69">
        <f t="shared" si="32"/>
        <v>0</v>
      </c>
      <c r="G169" s="156">
        <f t="shared" si="35"/>
        <v>0</v>
      </c>
      <c r="H169" s="157">
        <f t="shared" si="36"/>
        <v>0</v>
      </c>
      <c r="I169" s="157">
        <f t="shared" si="33"/>
        <v>0</v>
      </c>
      <c r="L169" s="99" t="s">
        <v>26</v>
      </c>
    </row>
    <row r="170" spans="1:12" ht="13.8" thickBot="1" x14ac:dyDescent="0.3">
      <c r="A170" s="3" t="s">
        <v>11</v>
      </c>
      <c r="B170" s="67">
        <f>arrears!G121</f>
        <v>0</v>
      </c>
      <c r="C170" s="67">
        <f>arrears!H121</f>
        <v>0</v>
      </c>
      <c r="D170" s="68">
        <f t="shared" si="34"/>
        <v>0</v>
      </c>
      <c r="E170" s="67">
        <f t="shared" si="31"/>
        <v>0</v>
      </c>
      <c r="F170" s="69">
        <f t="shared" si="32"/>
        <v>0</v>
      </c>
      <c r="G170" s="156">
        <f t="shared" si="35"/>
        <v>0</v>
      </c>
      <c r="H170" s="157">
        <f t="shared" si="36"/>
        <v>0</v>
      </c>
      <c r="I170" s="157">
        <f t="shared" si="33"/>
        <v>0</v>
      </c>
      <c r="L170" s="99" t="s">
        <v>26</v>
      </c>
    </row>
    <row r="171" spans="1:12" ht="13.8" thickBot="1" x14ac:dyDescent="0.3">
      <c r="A171" s="3" t="s">
        <v>12</v>
      </c>
      <c r="B171" s="67">
        <f>arrears!G122</f>
        <v>0</v>
      </c>
      <c r="C171" s="67">
        <f>arrears!H122</f>
        <v>0</v>
      </c>
      <c r="D171" s="68">
        <f t="shared" si="34"/>
        <v>0</v>
      </c>
      <c r="E171" s="67">
        <f t="shared" si="31"/>
        <v>0</v>
      </c>
      <c r="F171" s="69">
        <f t="shared" si="32"/>
        <v>0</v>
      </c>
      <c r="G171" s="156">
        <f t="shared" si="35"/>
        <v>0</v>
      </c>
      <c r="H171" s="157">
        <f t="shared" si="36"/>
        <v>0</v>
      </c>
      <c r="I171" s="157">
        <f t="shared" si="33"/>
        <v>0</v>
      </c>
      <c r="L171" s="99" t="s">
        <v>26</v>
      </c>
    </row>
    <row r="172" spans="1:12" ht="13.8" thickBot="1" x14ac:dyDescent="0.3">
      <c r="A172" s="3" t="s">
        <v>13</v>
      </c>
      <c r="B172" s="67">
        <f>arrears!G123</f>
        <v>0</v>
      </c>
      <c r="C172" s="67">
        <f>arrears!H123</f>
        <v>0</v>
      </c>
      <c r="D172" s="68">
        <f t="shared" si="34"/>
        <v>0</v>
      </c>
      <c r="E172" s="67">
        <f t="shared" si="31"/>
        <v>0</v>
      </c>
      <c r="F172" s="69">
        <f t="shared" si="32"/>
        <v>0</v>
      </c>
      <c r="G172" s="156">
        <f t="shared" si="35"/>
        <v>0</v>
      </c>
      <c r="H172" s="157">
        <f t="shared" si="36"/>
        <v>0</v>
      </c>
      <c r="I172" s="157">
        <f t="shared" si="33"/>
        <v>0</v>
      </c>
      <c r="L172" s="99" t="s">
        <v>26</v>
      </c>
    </row>
    <row r="173" spans="1:12" ht="13.8" thickBot="1" x14ac:dyDescent="0.3">
      <c r="A173" s="3" t="s">
        <v>14</v>
      </c>
      <c r="B173" s="67">
        <f>arrears!G124</f>
        <v>0</v>
      </c>
      <c r="C173" s="67">
        <f>arrears!H124</f>
        <v>0</v>
      </c>
      <c r="D173" s="68">
        <f t="shared" si="34"/>
        <v>0</v>
      </c>
      <c r="E173" s="67">
        <f t="shared" si="31"/>
        <v>0</v>
      </c>
      <c r="F173" s="69">
        <f t="shared" si="32"/>
        <v>0</v>
      </c>
      <c r="G173" s="156">
        <f t="shared" si="35"/>
        <v>0</v>
      </c>
      <c r="H173" s="157">
        <f t="shared" si="36"/>
        <v>0</v>
      </c>
      <c r="I173" s="157">
        <f t="shared" si="33"/>
        <v>0</v>
      </c>
      <c r="L173" s="99" t="s">
        <v>26</v>
      </c>
    </row>
    <row r="174" spans="1:12" ht="13.8" thickBot="1" x14ac:dyDescent="0.3">
      <c r="A174" s="3" t="s">
        <v>15</v>
      </c>
      <c r="B174" s="67">
        <f>arrears!G125</f>
        <v>0</v>
      </c>
      <c r="C174" s="67">
        <f>arrears!H125</f>
        <v>0</v>
      </c>
      <c r="D174" s="68">
        <f t="shared" si="34"/>
        <v>0</v>
      </c>
      <c r="E174" s="67">
        <f t="shared" si="31"/>
        <v>0</v>
      </c>
      <c r="F174" s="69">
        <f t="shared" si="32"/>
        <v>0</v>
      </c>
      <c r="G174" s="156">
        <f t="shared" si="35"/>
        <v>0</v>
      </c>
      <c r="H174" s="157">
        <f t="shared" si="36"/>
        <v>0</v>
      </c>
      <c r="I174" s="157">
        <f t="shared" si="33"/>
        <v>0</v>
      </c>
      <c r="L174" s="99" t="s">
        <v>26</v>
      </c>
    </row>
    <row r="175" spans="1:12" ht="13.8" thickBot="1" x14ac:dyDescent="0.3">
      <c r="A175" s="3" t="s">
        <v>16</v>
      </c>
      <c r="B175" s="67">
        <f>arrears!G126</f>
        <v>0</v>
      </c>
      <c r="C175" s="67">
        <f>arrears!H126</f>
        <v>0</v>
      </c>
      <c r="D175" s="68">
        <f t="shared" si="34"/>
        <v>0</v>
      </c>
      <c r="E175" s="67">
        <f t="shared" si="31"/>
        <v>0</v>
      </c>
      <c r="F175" s="69">
        <f t="shared" si="32"/>
        <v>0</v>
      </c>
      <c r="G175" s="156">
        <f t="shared" si="35"/>
        <v>0</v>
      </c>
      <c r="H175" s="157">
        <f t="shared" si="36"/>
        <v>0</v>
      </c>
      <c r="I175" s="157">
        <f t="shared" si="33"/>
        <v>0</v>
      </c>
      <c r="L175" s="99" t="s">
        <v>36</v>
      </c>
    </row>
    <row r="176" spans="1:12" ht="13.8" thickBot="1" x14ac:dyDescent="0.3">
      <c r="A176" s="3" t="s">
        <v>17</v>
      </c>
      <c r="B176" s="67">
        <f>arrears!G127</f>
        <v>0</v>
      </c>
      <c r="C176" s="67">
        <f>arrears!H127</f>
        <v>0</v>
      </c>
      <c r="D176" s="68">
        <f t="shared" si="34"/>
        <v>0</v>
      </c>
      <c r="E176" s="67">
        <f t="shared" si="31"/>
        <v>0</v>
      </c>
      <c r="F176" s="69">
        <f t="shared" si="32"/>
        <v>0</v>
      </c>
      <c r="G176" s="156">
        <f t="shared" si="35"/>
        <v>0</v>
      </c>
      <c r="H176" s="157">
        <f t="shared" si="36"/>
        <v>0</v>
      </c>
      <c r="I176" s="157">
        <f t="shared" si="33"/>
        <v>0</v>
      </c>
      <c r="L176" s="99" t="s">
        <v>26</v>
      </c>
    </row>
    <row r="177" spans="1:12" ht="13.8" thickBot="1" x14ac:dyDescent="0.3">
      <c r="A177" s="3" t="s">
        <v>18</v>
      </c>
      <c r="B177" s="67">
        <f>arrears!G128</f>
        <v>0</v>
      </c>
      <c r="C177" s="67">
        <f>arrears!H128</f>
        <v>0</v>
      </c>
      <c r="D177" s="68">
        <f t="shared" si="34"/>
        <v>0</v>
      </c>
      <c r="E177" s="67">
        <f t="shared" si="31"/>
        <v>0</v>
      </c>
      <c r="F177" s="69">
        <f t="shared" si="32"/>
        <v>0</v>
      </c>
      <c r="G177" s="156">
        <f t="shared" si="35"/>
        <v>0</v>
      </c>
      <c r="H177" s="157">
        <f t="shared" si="36"/>
        <v>0</v>
      </c>
      <c r="I177" s="157">
        <f t="shared" si="33"/>
        <v>0</v>
      </c>
      <c r="J177" s="35" t="s">
        <v>26</v>
      </c>
      <c r="L177" s="99" t="s">
        <v>26</v>
      </c>
    </row>
    <row r="178" spans="1:12" ht="13.8" thickBot="1" x14ac:dyDescent="0.3">
      <c r="A178" s="7" t="s">
        <v>19</v>
      </c>
      <c r="B178" s="72">
        <f>SUM(B166:B177)</f>
        <v>0</v>
      </c>
      <c r="C178" s="72">
        <f>SUM(C166:C177)</f>
        <v>0</v>
      </c>
      <c r="D178" s="72">
        <f>SUM(D166:D177)</f>
        <v>0</v>
      </c>
      <c r="E178" s="73">
        <f>SUM(E166:E177)</f>
        <v>0</v>
      </c>
      <c r="F178" s="73">
        <f>SUM(F166:F177)</f>
        <v>0</v>
      </c>
      <c r="G178" s="71" t="s">
        <v>26</v>
      </c>
      <c r="H178" s="74">
        <f xml:space="preserve"> SUM(H166:H177)</f>
        <v>0</v>
      </c>
      <c r="I178" s="75"/>
    </row>
    <row r="179" spans="1:12" x14ac:dyDescent="0.25">
      <c r="A179" s="181">
        <f>arrears!F130</f>
        <v>0</v>
      </c>
    </row>
    <row r="180" spans="1:12" x14ac:dyDescent="0.25">
      <c r="A180" s="181">
        <f>arrears!F131</f>
        <v>0</v>
      </c>
    </row>
    <row r="181" spans="1:12" x14ac:dyDescent="0.25">
      <c r="A181" s="181">
        <f>arrears!F132</f>
        <v>0</v>
      </c>
    </row>
    <row r="182" spans="1:12" x14ac:dyDescent="0.25">
      <c r="A182" s="181">
        <f>arrears!F133</f>
        <v>0</v>
      </c>
    </row>
    <row r="183" spans="1:12" x14ac:dyDescent="0.25">
      <c r="A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</row>
    <row r="185" spans="1:12" x14ac:dyDescent="0.25">
      <c r="A185" s="18"/>
      <c r="B185" s="21" t="s">
        <v>0</v>
      </c>
      <c r="C185" s="96" t="str">
        <f>$C$3</f>
        <v xml:space="preserve"> </v>
      </c>
      <c r="D185" s="19"/>
      <c r="E185" s="19"/>
      <c r="F185" s="6" t="s">
        <v>53</v>
      </c>
      <c r="G185" s="96" t="str">
        <f>$G$3</f>
        <v xml:space="preserve"> </v>
      </c>
      <c r="H185" s="17"/>
      <c r="I185" s="17"/>
    </row>
    <row r="186" spans="1:12" x14ac:dyDescent="0.25">
      <c r="A186" s="18"/>
      <c r="B186" s="21" t="s">
        <v>1</v>
      </c>
      <c r="C186" s="96" t="str">
        <f>$C$4</f>
        <v xml:space="preserve"> </v>
      </c>
      <c r="D186" s="19"/>
      <c r="E186" s="19"/>
      <c r="F186" s="21" t="s">
        <v>26</v>
      </c>
      <c r="G186" s="19" t="s">
        <v>26</v>
      </c>
      <c r="H186" s="17"/>
      <c r="I186" s="17"/>
    </row>
    <row r="187" spans="1:12" x14ac:dyDescent="0.25">
      <c r="A187" s="18"/>
      <c r="B187" s="21"/>
      <c r="C187" s="19"/>
      <c r="D187" s="19"/>
      <c r="E187" s="19"/>
      <c r="F187" s="21"/>
      <c r="G187" s="19"/>
      <c r="H187" s="17"/>
      <c r="I187" s="17"/>
    </row>
    <row r="188" spans="1:12" ht="13.8" thickBot="1" x14ac:dyDescent="0.3">
      <c r="A188" s="17"/>
      <c r="B188" s="17"/>
      <c r="C188" s="17"/>
      <c r="D188" s="17"/>
      <c r="E188" s="17"/>
      <c r="F188" s="17"/>
      <c r="G188" s="17"/>
      <c r="H188" s="17"/>
      <c r="I188" s="17"/>
    </row>
    <row r="189" spans="1:12" ht="13.8" thickBot="1" x14ac:dyDescent="0.3">
      <c r="A189" s="4" t="s">
        <v>2</v>
      </c>
      <c r="B189" s="65" t="str">
        <f>arrears!B134</f>
        <v xml:space="preserve"> </v>
      </c>
      <c r="C189" s="12" t="s">
        <v>35</v>
      </c>
      <c r="D189" s="12" t="s">
        <v>5</v>
      </c>
      <c r="E189" s="12" t="s">
        <v>5</v>
      </c>
      <c r="F189" s="12" t="s">
        <v>46</v>
      </c>
      <c r="G189" s="12" t="s">
        <v>29</v>
      </c>
      <c r="H189" s="14" t="s">
        <v>27</v>
      </c>
      <c r="I189" s="14" t="s">
        <v>29</v>
      </c>
      <c r="L189" s="215" t="s">
        <v>31</v>
      </c>
    </row>
    <row r="190" spans="1:12" ht="13.8" thickBot="1" x14ac:dyDescent="0.3">
      <c r="A190" s="4" t="s">
        <v>3</v>
      </c>
      <c r="B190" s="4" t="s">
        <v>4</v>
      </c>
      <c r="C190" s="13" t="s">
        <v>34</v>
      </c>
      <c r="D190" s="13" t="s">
        <v>30</v>
      </c>
      <c r="E190" s="13" t="s">
        <v>27</v>
      </c>
      <c r="F190" s="13" t="s">
        <v>47</v>
      </c>
      <c r="G190" s="13" t="s">
        <v>33</v>
      </c>
      <c r="H190" s="15" t="s">
        <v>34</v>
      </c>
      <c r="I190" s="15" t="s">
        <v>31</v>
      </c>
      <c r="L190" s="216" t="s">
        <v>124</v>
      </c>
    </row>
    <row r="191" spans="1:12" ht="13.8" thickBot="1" x14ac:dyDescent="0.3">
      <c r="A191" s="3" t="s">
        <v>7</v>
      </c>
      <c r="B191" s="67">
        <f>arrears!B136</f>
        <v>0</v>
      </c>
      <c r="C191" s="67">
        <f>arrears!C136</f>
        <v>0</v>
      </c>
      <c r="D191" s="68">
        <f>IF(C191&lt;=(G177+B191),C191,IF(C191&lt;=(G177+B191+I177),(B191+G177),IF(C191&gt;=SUM(G177+B191+I177),(C191-I177),0)))</f>
        <v>0</v>
      </c>
      <c r="E191" s="67">
        <f t="shared" ref="E191:E202" si="37">IF(C191=D191,0,IF(C191&lt;&gt;D191,(C191-D191)))</f>
        <v>0</v>
      </c>
      <c r="F191" s="69">
        <f t="shared" ref="F191:F202" si="38">B191-D191</f>
        <v>0</v>
      </c>
      <c r="G191" s="70">
        <f>IF(J177="b",0,IF(J191="b",(G177+F191),IF(J191="s",(($M$6)+F191),IF(J191="j",$M$6,IF(J177="e",0,IF(J191="z",0,(G177+F191)))))))</f>
        <v>0</v>
      </c>
      <c r="H191" s="157">
        <f>IF(G191&lt;=0,0,IF(J191="s",0,IF(J191="n",0,IF(J191="e",(G191*$L$191),IF(J191="b",0,IF(J191="j",0,SUM(G191*$L$191)))))))</f>
        <v>0</v>
      </c>
      <c r="I191" s="71">
        <f>IF(J177="b",0,IF(J191="s",(Surcharge-E191+H191),IF(J191="j",0,IF(J177="e",0,(I177-E191+H191)))))</f>
        <v>0</v>
      </c>
      <c r="J191" s="35" t="s">
        <v>26</v>
      </c>
      <c r="L191" s="99">
        <f>IF(B189&lt;2012,0.01,0.005)</f>
        <v>5.0000000000000001E-3</v>
      </c>
    </row>
    <row r="192" spans="1:12" ht="13.8" thickBot="1" x14ac:dyDescent="0.3">
      <c r="A192" s="3" t="s">
        <v>8</v>
      </c>
      <c r="B192" s="67">
        <f>arrears!B137</f>
        <v>0</v>
      </c>
      <c r="C192" s="67">
        <f>arrears!C137</f>
        <v>0</v>
      </c>
      <c r="D192" s="68">
        <f>IF(C192&lt;=(G191+B192),C192,IF(C192&lt;=(G191+B192+I191),B192+G191,IF(C192&gt;SUM(G191+B192+I191),(C192-I191),0)))</f>
        <v>0</v>
      </c>
      <c r="E192" s="67">
        <f t="shared" si="37"/>
        <v>0</v>
      </c>
      <c r="F192" s="69">
        <f t="shared" si="38"/>
        <v>0</v>
      </c>
      <c r="G192" s="156">
        <f>IF(J191="b",0,IF(J192="b",(G191+F192),IF(J192="s",(($M$6)+F192),IF(J192="j",$M$6,IF(J191="e",0,IF(J192="z",0,(G191+F192)))))))</f>
        <v>0</v>
      </c>
      <c r="H192" s="157">
        <f>IF(G192&lt;=0,0,IF(J192="s",0,IF(J192="n",0,IF(J192="e",(G192*$L$191),IF(J192="b",0,IF(J192="j",0,SUM(G192*$L$191)))))))</f>
        <v>0</v>
      </c>
      <c r="I192" s="157">
        <f t="shared" ref="I192:I202" si="39">IF(J191="b",0,IF(J192="s",(Surcharge-E192+H192),IF(J192="j",0,IF(J191="e",0,(I191-E192+H192)))))</f>
        <v>0</v>
      </c>
      <c r="L192" s="99" t="s">
        <v>26</v>
      </c>
    </row>
    <row r="193" spans="1:12" ht="13.8" thickBot="1" x14ac:dyDescent="0.3">
      <c r="A193" s="3" t="s">
        <v>9</v>
      </c>
      <c r="B193" s="67">
        <f>arrears!B138</f>
        <v>0</v>
      </c>
      <c r="C193" s="67">
        <f>arrears!C138</f>
        <v>0</v>
      </c>
      <c r="D193" s="68">
        <f t="shared" ref="D193:D202" si="40">IF(C193&lt;=(G192+B193),C193,IF(C193&lt;=(G192+B193+I192),B193+G192,IF(C193&gt;SUM(G192+B193+I192),(C193-I192),0)))</f>
        <v>0</v>
      </c>
      <c r="E193" s="67">
        <f t="shared" si="37"/>
        <v>0</v>
      </c>
      <c r="F193" s="69">
        <f t="shared" si="38"/>
        <v>0</v>
      </c>
      <c r="G193" s="156">
        <f t="shared" ref="G193:G202" si="41">IF(J192="b",0,IF(J193="b",(G192+F193),IF(J193="s",(($M$6)+F193),IF(J193="j",$M$6,IF(J192="e",0,IF(J193="z",0,(G192+F193)))))))</f>
        <v>0</v>
      </c>
      <c r="H193" s="157">
        <f t="shared" ref="H193:H202" si="42">IF(G193&lt;=0,0,IF(J193="s",0,IF(J193="n",0,IF(J193="e",(G193*$L$191),IF(J193="b",0,IF(J193="j",0,SUM(G193*$L$191)))))))</f>
        <v>0</v>
      </c>
      <c r="I193" s="157">
        <f t="shared" si="39"/>
        <v>0</v>
      </c>
      <c r="L193" s="99" t="s">
        <v>26</v>
      </c>
    </row>
    <row r="194" spans="1:12" ht="13.8" thickBot="1" x14ac:dyDescent="0.3">
      <c r="A194" s="3" t="s">
        <v>10</v>
      </c>
      <c r="B194" s="67">
        <f>arrears!B139</f>
        <v>0</v>
      </c>
      <c r="C194" s="67">
        <f>arrears!C139</f>
        <v>0</v>
      </c>
      <c r="D194" s="68">
        <f t="shared" si="40"/>
        <v>0</v>
      </c>
      <c r="E194" s="67">
        <f t="shared" si="37"/>
        <v>0</v>
      </c>
      <c r="F194" s="69">
        <f t="shared" si="38"/>
        <v>0</v>
      </c>
      <c r="G194" s="156">
        <f t="shared" si="41"/>
        <v>0</v>
      </c>
      <c r="H194" s="157">
        <f t="shared" si="42"/>
        <v>0</v>
      </c>
      <c r="I194" s="157">
        <f t="shared" si="39"/>
        <v>0</v>
      </c>
      <c r="L194" s="99" t="s">
        <v>26</v>
      </c>
    </row>
    <row r="195" spans="1:12" ht="13.8" thickBot="1" x14ac:dyDescent="0.3">
      <c r="A195" s="3" t="s">
        <v>11</v>
      </c>
      <c r="B195" s="67">
        <f>arrears!B140</f>
        <v>0</v>
      </c>
      <c r="C195" s="67">
        <f>arrears!C140</f>
        <v>0</v>
      </c>
      <c r="D195" s="68">
        <f t="shared" si="40"/>
        <v>0</v>
      </c>
      <c r="E195" s="67">
        <f t="shared" si="37"/>
        <v>0</v>
      </c>
      <c r="F195" s="69">
        <f t="shared" si="38"/>
        <v>0</v>
      </c>
      <c r="G195" s="156">
        <f t="shared" si="41"/>
        <v>0</v>
      </c>
      <c r="H195" s="157">
        <f t="shared" si="42"/>
        <v>0</v>
      </c>
      <c r="I195" s="157">
        <f t="shared" si="39"/>
        <v>0</v>
      </c>
      <c r="L195" s="99" t="s">
        <v>26</v>
      </c>
    </row>
    <row r="196" spans="1:12" ht="13.8" thickBot="1" x14ac:dyDescent="0.3">
      <c r="A196" s="3" t="s">
        <v>12</v>
      </c>
      <c r="B196" s="67">
        <f>arrears!B141</f>
        <v>0</v>
      </c>
      <c r="C196" s="67">
        <f>arrears!C141</f>
        <v>0</v>
      </c>
      <c r="D196" s="68">
        <f t="shared" si="40"/>
        <v>0</v>
      </c>
      <c r="E196" s="67">
        <f t="shared" si="37"/>
        <v>0</v>
      </c>
      <c r="F196" s="69">
        <f t="shared" si="38"/>
        <v>0</v>
      </c>
      <c r="G196" s="156">
        <f t="shared" si="41"/>
        <v>0</v>
      </c>
      <c r="H196" s="157">
        <f t="shared" si="42"/>
        <v>0</v>
      </c>
      <c r="I196" s="157">
        <f t="shared" si="39"/>
        <v>0</v>
      </c>
      <c r="L196" s="99" t="s">
        <v>26</v>
      </c>
    </row>
    <row r="197" spans="1:12" ht="13.8" thickBot="1" x14ac:dyDescent="0.3">
      <c r="A197" s="3" t="s">
        <v>13</v>
      </c>
      <c r="B197" s="67">
        <f>arrears!B142</f>
        <v>0</v>
      </c>
      <c r="C197" s="67">
        <f>arrears!C142</f>
        <v>0</v>
      </c>
      <c r="D197" s="68">
        <f t="shared" si="40"/>
        <v>0</v>
      </c>
      <c r="E197" s="67">
        <f t="shared" si="37"/>
        <v>0</v>
      </c>
      <c r="F197" s="69">
        <f t="shared" si="38"/>
        <v>0</v>
      </c>
      <c r="G197" s="156">
        <f t="shared" si="41"/>
        <v>0</v>
      </c>
      <c r="H197" s="157">
        <f t="shared" si="42"/>
        <v>0</v>
      </c>
      <c r="I197" s="157">
        <f t="shared" si="39"/>
        <v>0</v>
      </c>
      <c r="L197" s="99" t="s">
        <v>26</v>
      </c>
    </row>
    <row r="198" spans="1:12" ht="13.8" thickBot="1" x14ac:dyDescent="0.3">
      <c r="A198" s="3" t="s">
        <v>14</v>
      </c>
      <c r="B198" s="67">
        <f>arrears!B143</f>
        <v>0</v>
      </c>
      <c r="C198" s="67">
        <f>arrears!C143</f>
        <v>0</v>
      </c>
      <c r="D198" s="68">
        <f t="shared" si="40"/>
        <v>0</v>
      </c>
      <c r="E198" s="67">
        <f t="shared" si="37"/>
        <v>0</v>
      </c>
      <c r="F198" s="69">
        <f t="shared" si="38"/>
        <v>0</v>
      </c>
      <c r="G198" s="156">
        <f t="shared" si="41"/>
        <v>0</v>
      </c>
      <c r="H198" s="157">
        <f t="shared" si="42"/>
        <v>0</v>
      </c>
      <c r="I198" s="157">
        <f t="shared" si="39"/>
        <v>0</v>
      </c>
      <c r="L198" s="99" t="s">
        <v>26</v>
      </c>
    </row>
    <row r="199" spans="1:12" ht="13.8" thickBot="1" x14ac:dyDescent="0.3">
      <c r="A199" s="3" t="s">
        <v>15</v>
      </c>
      <c r="B199" s="67">
        <f>arrears!B144</f>
        <v>0</v>
      </c>
      <c r="C199" s="67">
        <f>arrears!C144</f>
        <v>0</v>
      </c>
      <c r="D199" s="68">
        <f t="shared" si="40"/>
        <v>0</v>
      </c>
      <c r="E199" s="67">
        <f t="shared" si="37"/>
        <v>0</v>
      </c>
      <c r="F199" s="69">
        <f t="shared" si="38"/>
        <v>0</v>
      </c>
      <c r="G199" s="156">
        <f t="shared" si="41"/>
        <v>0</v>
      </c>
      <c r="H199" s="157">
        <f t="shared" si="42"/>
        <v>0</v>
      </c>
      <c r="I199" s="157">
        <f t="shared" si="39"/>
        <v>0</v>
      </c>
      <c r="L199" s="99" t="s">
        <v>36</v>
      </c>
    </row>
    <row r="200" spans="1:12" ht="13.8" thickBot="1" x14ac:dyDescent="0.3">
      <c r="A200" s="3" t="s">
        <v>16</v>
      </c>
      <c r="B200" s="67">
        <f>arrears!B145</f>
        <v>0</v>
      </c>
      <c r="C200" s="67">
        <f>arrears!C145</f>
        <v>0</v>
      </c>
      <c r="D200" s="68">
        <f t="shared" si="40"/>
        <v>0</v>
      </c>
      <c r="E200" s="67">
        <f t="shared" si="37"/>
        <v>0</v>
      </c>
      <c r="F200" s="69">
        <f t="shared" si="38"/>
        <v>0</v>
      </c>
      <c r="G200" s="156">
        <f t="shared" si="41"/>
        <v>0</v>
      </c>
      <c r="H200" s="157">
        <f t="shared" si="42"/>
        <v>0</v>
      </c>
      <c r="I200" s="157">
        <f t="shared" si="39"/>
        <v>0</v>
      </c>
      <c r="L200" s="99" t="s">
        <v>26</v>
      </c>
    </row>
    <row r="201" spans="1:12" ht="13.8" thickBot="1" x14ac:dyDescent="0.3">
      <c r="A201" s="3" t="s">
        <v>17</v>
      </c>
      <c r="B201" s="67">
        <f>arrears!B146</f>
        <v>0</v>
      </c>
      <c r="C201" s="67">
        <f>arrears!C146</f>
        <v>0</v>
      </c>
      <c r="D201" s="68">
        <f t="shared" si="40"/>
        <v>0</v>
      </c>
      <c r="E201" s="67">
        <f t="shared" si="37"/>
        <v>0</v>
      </c>
      <c r="F201" s="69">
        <f t="shared" si="38"/>
        <v>0</v>
      </c>
      <c r="G201" s="156">
        <f t="shared" si="41"/>
        <v>0</v>
      </c>
      <c r="H201" s="157">
        <f t="shared" si="42"/>
        <v>0</v>
      </c>
      <c r="I201" s="157">
        <f t="shared" si="39"/>
        <v>0</v>
      </c>
      <c r="L201" s="99" t="s">
        <v>26</v>
      </c>
    </row>
    <row r="202" spans="1:12" ht="13.8" thickBot="1" x14ac:dyDescent="0.3">
      <c r="A202" s="3" t="s">
        <v>18</v>
      </c>
      <c r="B202" s="67">
        <f>arrears!B147</f>
        <v>0</v>
      </c>
      <c r="C202" s="67">
        <f>arrears!C147</f>
        <v>0</v>
      </c>
      <c r="D202" s="68">
        <f t="shared" si="40"/>
        <v>0</v>
      </c>
      <c r="E202" s="67">
        <f t="shared" si="37"/>
        <v>0</v>
      </c>
      <c r="F202" s="69">
        <f t="shared" si="38"/>
        <v>0</v>
      </c>
      <c r="G202" s="156">
        <f t="shared" si="41"/>
        <v>0</v>
      </c>
      <c r="H202" s="157">
        <f t="shared" si="42"/>
        <v>0</v>
      </c>
      <c r="I202" s="157">
        <f t="shared" si="39"/>
        <v>0</v>
      </c>
      <c r="L202" s="99" t="s">
        <v>26</v>
      </c>
    </row>
    <row r="203" spans="1:12" ht="13.8" thickBot="1" x14ac:dyDescent="0.3">
      <c r="A203" s="7" t="s">
        <v>19</v>
      </c>
      <c r="B203" s="72">
        <f>SUM(B191:B202)</f>
        <v>0</v>
      </c>
      <c r="C203" s="72">
        <f>SUM(C191:C202)</f>
        <v>0</v>
      </c>
      <c r="D203" s="72">
        <f>SUM(D191:D202)</f>
        <v>0</v>
      </c>
      <c r="E203" s="73">
        <f>SUM(E191:E202)</f>
        <v>0</v>
      </c>
      <c r="F203" s="73">
        <f>SUM(F191:F202)</f>
        <v>0</v>
      </c>
      <c r="G203" s="71" t="s">
        <v>26</v>
      </c>
      <c r="H203" s="74">
        <f xml:space="preserve"> SUM(H191:H202)</f>
        <v>0</v>
      </c>
      <c r="I203" s="75"/>
    </row>
    <row r="204" spans="1:12" x14ac:dyDescent="0.25">
      <c r="A204" s="207">
        <f>arrears!A149</f>
        <v>0</v>
      </c>
    </row>
    <row r="205" spans="1:12" x14ac:dyDescent="0.25">
      <c r="A205" s="207">
        <f>arrears!A150</f>
        <v>0</v>
      </c>
    </row>
    <row r="206" spans="1:12" x14ac:dyDescent="0.25">
      <c r="A206" s="207">
        <f>arrears!A151</f>
        <v>0</v>
      </c>
    </row>
    <row r="207" spans="1:12" ht="13.8" thickBot="1" x14ac:dyDescent="0.3">
      <c r="A207" s="207">
        <f>arrears!A152</f>
        <v>0</v>
      </c>
    </row>
    <row r="208" spans="1:12" ht="13.8" thickBot="1" x14ac:dyDescent="0.3">
      <c r="A208" s="4" t="s">
        <v>2</v>
      </c>
      <c r="B208" s="65" t="str">
        <f>arrears!G134</f>
        <v xml:space="preserve"> </v>
      </c>
      <c r="C208" s="12" t="s">
        <v>35</v>
      </c>
      <c r="D208" s="12" t="s">
        <v>5</v>
      </c>
      <c r="E208" s="12" t="s">
        <v>5</v>
      </c>
      <c r="F208" s="12" t="s">
        <v>46</v>
      </c>
      <c r="G208" s="12" t="s">
        <v>29</v>
      </c>
      <c r="H208" s="14" t="s">
        <v>27</v>
      </c>
      <c r="I208" s="14" t="s">
        <v>29</v>
      </c>
      <c r="L208" s="215" t="s">
        <v>31</v>
      </c>
    </row>
    <row r="209" spans="1:12" ht="13.8" thickBot="1" x14ac:dyDescent="0.3">
      <c r="A209" s="4" t="s">
        <v>3</v>
      </c>
      <c r="B209" s="4" t="s">
        <v>4</v>
      </c>
      <c r="C209" s="13" t="s">
        <v>34</v>
      </c>
      <c r="D209" s="13" t="s">
        <v>30</v>
      </c>
      <c r="E209" s="13" t="s">
        <v>27</v>
      </c>
      <c r="F209" s="13" t="s">
        <v>47</v>
      </c>
      <c r="G209" s="13" t="s">
        <v>33</v>
      </c>
      <c r="H209" s="15" t="s">
        <v>34</v>
      </c>
      <c r="I209" s="15" t="s">
        <v>31</v>
      </c>
      <c r="L209" s="216" t="s">
        <v>124</v>
      </c>
    </row>
    <row r="210" spans="1:12" ht="13.8" thickBot="1" x14ac:dyDescent="0.3">
      <c r="A210" s="3" t="s">
        <v>7</v>
      </c>
      <c r="B210" s="67">
        <f>arrears!G136</f>
        <v>0</v>
      </c>
      <c r="C210" s="67">
        <f>arrears!H136</f>
        <v>0</v>
      </c>
      <c r="D210" s="68">
        <f>IF(C210&lt;=(G202+B210),C210,IF(C210&lt;=SUM(G202+B210+I202),B210+G202,IF(C210&gt;SUM(G202+B210+I202),(C210-I202),0)))</f>
        <v>0</v>
      </c>
      <c r="E210" s="67">
        <f t="shared" ref="E210:E221" si="43">IF(C210=D210,0,IF(C210&lt;&gt;D210,(C210-D210)))</f>
        <v>0</v>
      </c>
      <c r="F210" s="69">
        <f t="shared" ref="F210:F221" si="44">B210-D210</f>
        <v>0</v>
      </c>
      <c r="G210" s="156">
        <f>IF(J202="b",0,IF(J210="b",(G202+F210),IF(J210="s",(($M$6)+F210),IF(J210="j",$M$6,IF(J202="e",0,IF(J210="z",0,(G202+F210)))))))</f>
        <v>0</v>
      </c>
      <c r="H210" s="157">
        <f>IF(G210&lt;=0,0,IF(J210="s",0,IF(J210="n",0,IF(J210="e",(G210*$L$210),IF(J210="b",0,IF(J210="j",0,SUM(G210*$L$210)))))))</f>
        <v>0</v>
      </c>
      <c r="I210" s="157">
        <f>IF(J202="b",0,IF(J210="s",(Surcharge-E210+H210),IF(J210="j",0,IF(J202="e",0,(I202-E210+H210)))))</f>
        <v>0</v>
      </c>
      <c r="L210" s="99">
        <f>IF(B208&lt;2012,0.01,0.005)</f>
        <v>5.0000000000000001E-3</v>
      </c>
    </row>
    <row r="211" spans="1:12" ht="13.8" thickBot="1" x14ac:dyDescent="0.3">
      <c r="A211" s="3" t="s">
        <v>8</v>
      </c>
      <c r="B211" s="67">
        <f>arrears!G137</f>
        <v>0</v>
      </c>
      <c r="C211" s="67">
        <f>arrears!H137</f>
        <v>0</v>
      </c>
      <c r="D211" s="68">
        <f>IF(C211&lt;=(G210+B211),C211,IF(C211&lt;=(G210+B211+I210),B211+G210,IF(C211&gt;SUM(G210+B211+I210),(C211-I210),0)))</f>
        <v>0</v>
      </c>
      <c r="E211" s="67">
        <f t="shared" si="43"/>
        <v>0</v>
      </c>
      <c r="F211" s="69">
        <f t="shared" si="44"/>
        <v>0</v>
      </c>
      <c r="G211" s="156">
        <f>IF(J210="b",0,IF(J211="b",(G210+F211),IF(J211="s",(($M$6)+F211),IF(J211="j",$M$6,IF(J210="e",0,IF(J211="z",0,(G210+F211)))))))</f>
        <v>0</v>
      </c>
      <c r="H211" s="157">
        <f>IF(G211&lt;=0,0,IF(J211="s",0,IF(J211="n",0,IF(J211="e",(G211*$L$210),IF(J211="b",0,IF(J211="j",0,SUM(G211*$L$210)))))))</f>
        <v>0</v>
      </c>
      <c r="I211" s="157">
        <f t="shared" ref="I211:I221" si="45">IF(J210="b",0,IF(J211="s",(Surcharge-E211+H211),IF(J211="j",0,IF(J210="e",0,(I210-E211+H211)))))</f>
        <v>0</v>
      </c>
      <c r="L211" s="99" t="s">
        <v>26</v>
      </c>
    </row>
    <row r="212" spans="1:12" ht="13.8" thickBot="1" x14ac:dyDescent="0.3">
      <c r="A212" s="3" t="s">
        <v>9</v>
      </c>
      <c r="B212" s="67">
        <f>arrears!G138</f>
        <v>0</v>
      </c>
      <c r="C212" s="67">
        <f>arrears!H138</f>
        <v>0</v>
      </c>
      <c r="D212" s="68">
        <f t="shared" ref="D212:D221" si="46">IF(C212&lt;=(G211+B212),C212,IF(C212&lt;=(G211+B212+I211),B212+G211,IF(C212&gt;SUM(G211+B212+I211),(C212-I211),0)))</f>
        <v>0</v>
      </c>
      <c r="E212" s="67">
        <f t="shared" si="43"/>
        <v>0</v>
      </c>
      <c r="F212" s="69">
        <f t="shared" si="44"/>
        <v>0</v>
      </c>
      <c r="G212" s="156">
        <f t="shared" ref="G212:G221" si="47">IF(J211="b",0,IF(J212="b",(G211+F212),IF(J212="s",(($M$6)+F212),IF(J212="j",$M$6,IF(J211="e",0,IF(J212="z",0,(G211+F212)))))))</f>
        <v>0</v>
      </c>
      <c r="H212" s="157">
        <f t="shared" ref="H212:H221" si="48">IF(G212&lt;=0,0,IF(J212="s",0,IF(J212="n",0,IF(J212="e",(G212*$L$210),IF(J212="b",0,IF(J212="j",0,SUM(G212*$L$210)))))))</f>
        <v>0</v>
      </c>
      <c r="I212" s="157">
        <f t="shared" si="45"/>
        <v>0</v>
      </c>
      <c r="J212" s="35" t="s">
        <v>26</v>
      </c>
      <c r="L212" s="99" t="s">
        <v>26</v>
      </c>
    </row>
    <row r="213" spans="1:12" ht="13.8" thickBot="1" x14ac:dyDescent="0.3">
      <c r="A213" s="3" t="s">
        <v>10</v>
      </c>
      <c r="B213" s="67">
        <f>arrears!G139</f>
        <v>0</v>
      </c>
      <c r="C213" s="67">
        <f>arrears!H139</f>
        <v>0</v>
      </c>
      <c r="D213" s="68">
        <f t="shared" si="46"/>
        <v>0</v>
      </c>
      <c r="E213" s="67">
        <f t="shared" si="43"/>
        <v>0</v>
      </c>
      <c r="F213" s="69">
        <f t="shared" si="44"/>
        <v>0</v>
      </c>
      <c r="G213" s="156">
        <f t="shared" si="47"/>
        <v>0</v>
      </c>
      <c r="H213" s="157">
        <f t="shared" si="48"/>
        <v>0</v>
      </c>
      <c r="I213" s="157">
        <f t="shared" si="45"/>
        <v>0</v>
      </c>
      <c r="L213" s="99" t="s">
        <v>26</v>
      </c>
    </row>
    <row r="214" spans="1:12" ht="13.8" thickBot="1" x14ac:dyDescent="0.3">
      <c r="A214" s="3" t="s">
        <v>11</v>
      </c>
      <c r="B214" s="67">
        <f>arrears!G140</f>
        <v>0</v>
      </c>
      <c r="C214" s="67">
        <f>arrears!H140</f>
        <v>0</v>
      </c>
      <c r="D214" s="68">
        <f t="shared" si="46"/>
        <v>0</v>
      </c>
      <c r="E214" s="67">
        <f t="shared" si="43"/>
        <v>0</v>
      </c>
      <c r="F214" s="69">
        <f t="shared" si="44"/>
        <v>0</v>
      </c>
      <c r="G214" s="156">
        <f t="shared" si="47"/>
        <v>0</v>
      </c>
      <c r="H214" s="157">
        <f t="shared" si="48"/>
        <v>0</v>
      </c>
      <c r="I214" s="157">
        <f t="shared" si="45"/>
        <v>0</v>
      </c>
      <c r="L214" s="99" t="s">
        <v>26</v>
      </c>
    </row>
    <row r="215" spans="1:12" ht="13.8" thickBot="1" x14ac:dyDescent="0.3">
      <c r="A215" s="3" t="s">
        <v>12</v>
      </c>
      <c r="B215" s="67">
        <f>arrears!G141</f>
        <v>0</v>
      </c>
      <c r="C215" s="67">
        <f>arrears!H141</f>
        <v>0</v>
      </c>
      <c r="D215" s="68">
        <f t="shared" si="46"/>
        <v>0</v>
      </c>
      <c r="E215" s="67">
        <f t="shared" si="43"/>
        <v>0</v>
      </c>
      <c r="F215" s="69">
        <f t="shared" si="44"/>
        <v>0</v>
      </c>
      <c r="G215" s="156">
        <f t="shared" si="47"/>
        <v>0</v>
      </c>
      <c r="H215" s="157">
        <f t="shared" si="48"/>
        <v>0</v>
      </c>
      <c r="I215" s="157">
        <f t="shared" si="45"/>
        <v>0</v>
      </c>
      <c r="L215" s="99" t="s">
        <v>26</v>
      </c>
    </row>
    <row r="216" spans="1:12" ht="13.8" thickBot="1" x14ac:dyDescent="0.3">
      <c r="A216" s="3" t="s">
        <v>13</v>
      </c>
      <c r="B216" s="67">
        <f>arrears!G142</f>
        <v>0</v>
      </c>
      <c r="C216" s="67">
        <f>arrears!H142</f>
        <v>0</v>
      </c>
      <c r="D216" s="68">
        <f t="shared" si="46"/>
        <v>0</v>
      </c>
      <c r="E216" s="67">
        <f t="shared" si="43"/>
        <v>0</v>
      </c>
      <c r="F216" s="69">
        <f t="shared" si="44"/>
        <v>0</v>
      </c>
      <c r="G216" s="156">
        <f t="shared" si="47"/>
        <v>0</v>
      </c>
      <c r="H216" s="157">
        <f t="shared" si="48"/>
        <v>0</v>
      </c>
      <c r="I216" s="157">
        <f t="shared" si="45"/>
        <v>0</v>
      </c>
      <c r="L216" s="99" t="s">
        <v>26</v>
      </c>
    </row>
    <row r="217" spans="1:12" ht="13.8" thickBot="1" x14ac:dyDescent="0.3">
      <c r="A217" s="3" t="s">
        <v>14</v>
      </c>
      <c r="B217" s="67">
        <f>arrears!G143</f>
        <v>0</v>
      </c>
      <c r="C217" s="67">
        <f>arrears!H143</f>
        <v>0</v>
      </c>
      <c r="D217" s="68">
        <f t="shared" si="46"/>
        <v>0</v>
      </c>
      <c r="E217" s="67">
        <f t="shared" si="43"/>
        <v>0</v>
      </c>
      <c r="F217" s="69">
        <f t="shared" si="44"/>
        <v>0</v>
      </c>
      <c r="G217" s="156">
        <f t="shared" si="47"/>
        <v>0</v>
      </c>
      <c r="H217" s="157">
        <f t="shared" si="48"/>
        <v>0</v>
      </c>
      <c r="I217" s="157">
        <f t="shared" si="45"/>
        <v>0</v>
      </c>
      <c r="L217" s="99" t="s">
        <v>26</v>
      </c>
    </row>
    <row r="218" spans="1:12" ht="13.8" thickBot="1" x14ac:dyDescent="0.3">
      <c r="A218" s="3" t="s">
        <v>15</v>
      </c>
      <c r="B218" s="67">
        <f>arrears!G144</f>
        <v>0</v>
      </c>
      <c r="C218" s="67">
        <f>arrears!H144</f>
        <v>0</v>
      </c>
      <c r="D218" s="68">
        <f t="shared" si="46"/>
        <v>0</v>
      </c>
      <c r="E218" s="67">
        <f t="shared" si="43"/>
        <v>0</v>
      </c>
      <c r="F218" s="69">
        <f t="shared" si="44"/>
        <v>0</v>
      </c>
      <c r="G218" s="156">
        <f t="shared" si="47"/>
        <v>0</v>
      </c>
      <c r="H218" s="157">
        <f t="shared" si="48"/>
        <v>0</v>
      </c>
      <c r="I218" s="157">
        <f t="shared" si="45"/>
        <v>0</v>
      </c>
      <c r="L218" s="99" t="s">
        <v>26</v>
      </c>
    </row>
    <row r="219" spans="1:12" ht="13.8" thickBot="1" x14ac:dyDescent="0.3">
      <c r="A219" s="3" t="s">
        <v>16</v>
      </c>
      <c r="B219" s="67">
        <f>arrears!G145</f>
        <v>0</v>
      </c>
      <c r="C219" s="67">
        <f>arrears!H145</f>
        <v>0</v>
      </c>
      <c r="D219" s="68">
        <f t="shared" si="46"/>
        <v>0</v>
      </c>
      <c r="E219" s="67">
        <f t="shared" si="43"/>
        <v>0</v>
      </c>
      <c r="F219" s="69">
        <f t="shared" si="44"/>
        <v>0</v>
      </c>
      <c r="G219" s="156">
        <f t="shared" si="47"/>
        <v>0</v>
      </c>
      <c r="H219" s="157">
        <f t="shared" si="48"/>
        <v>0</v>
      </c>
      <c r="I219" s="157">
        <f t="shared" si="45"/>
        <v>0</v>
      </c>
      <c r="L219" s="99" t="s">
        <v>26</v>
      </c>
    </row>
    <row r="220" spans="1:12" ht="13.8" thickBot="1" x14ac:dyDescent="0.3">
      <c r="A220" s="3" t="s">
        <v>17</v>
      </c>
      <c r="B220" s="67">
        <f>arrears!G146</f>
        <v>0</v>
      </c>
      <c r="C220" s="67">
        <f>arrears!H146</f>
        <v>0</v>
      </c>
      <c r="D220" s="68">
        <f t="shared" si="46"/>
        <v>0</v>
      </c>
      <c r="E220" s="67">
        <f t="shared" si="43"/>
        <v>0</v>
      </c>
      <c r="F220" s="69">
        <f t="shared" si="44"/>
        <v>0</v>
      </c>
      <c r="G220" s="156">
        <f t="shared" si="47"/>
        <v>0</v>
      </c>
      <c r="H220" s="157">
        <f t="shared" si="48"/>
        <v>0</v>
      </c>
      <c r="I220" s="157">
        <f t="shared" si="45"/>
        <v>0</v>
      </c>
      <c r="L220" s="99" t="s">
        <v>26</v>
      </c>
    </row>
    <row r="221" spans="1:12" ht="13.8" thickBot="1" x14ac:dyDescent="0.3">
      <c r="A221" s="3" t="s">
        <v>18</v>
      </c>
      <c r="B221" s="67">
        <f>arrears!G147</f>
        <v>0</v>
      </c>
      <c r="C221" s="67">
        <f>arrears!H147</f>
        <v>0</v>
      </c>
      <c r="D221" s="68">
        <f t="shared" si="46"/>
        <v>0</v>
      </c>
      <c r="E221" s="67">
        <f t="shared" si="43"/>
        <v>0</v>
      </c>
      <c r="F221" s="69">
        <f t="shared" si="44"/>
        <v>0</v>
      </c>
      <c r="G221" s="156">
        <f t="shared" si="47"/>
        <v>0</v>
      </c>
      <c r="H221" s="157">
        <f t="shared" si="48"/>
        <v>0</v>
      </c>
      <c r="I221" s="157">
        <f t="shared" si="45"/>
        <v>0</v>
      </c>
      <c r="L221" s="99" t="s">
        <v>26</v>
      </c>
    </row>
    <row r="222" spans="1:12" ht="13.8" thickBot="1" x14ac:dyDescent="0.3">
      <c r="A222" s="7" t="s">
        <v>19</v>
      </c>
      <c r="B222" s="72">
        <f>SUM(B210:B221)</f>
        <v>0</v>
      </c>
      <c r="C222" s="72">
        <f>SUM(C210:C221)</f>
        <v>0</v>
      </c>
      <c r="D222" s="72">
        <f>SUM(D210:D221)</f>
        <v>0</v>
      </c>
      <c r="E222" s="73">
        <f>SUM(E210:E221)</f>
        <v>0</v>
      </c>
      <c r="F222" s="73">
        <f>SUM(F210:F221)</f>
        <v>0</v>
      </c>
      <c r="G222" s="71" t="s">
        <v>26</v>
      </c>
      <c r="H222" s="74">
        <f xml:space="preserve"> SUM(H210:H221)</f>
        <v>0</v>
      </c>
      <c r="I222" s="75"/>
    </row>
    <row r="223" spans="1:12" x14ac:dyDescent="0.25">
      <c r="A223" s="181">
        <f>arrears!F149</f>
        <v>0</v>
      </c>
    </row>
    <row r="224" spans="1:12" x14ac:dyDescent="0.25">
      <c r="A224" s="181">
        <f>arrears!F150</f>
        <v>0</v>
      </c>
    </row>
    <row r="225" spans="1:12" x14ac:dyDescent="0.25">
      <c r="A225" s="181">
        <f>arrears!F151</f>
        <v>0</v>
      </c>
    </row>
    <row r="226" spans="1:12" ht="13.8" thickBot="1" x14ac:dyDescent="0.3">
      <c r="A226" s="181">
        <f>arrears!F152</f>
        <v>0</v>
      </c>
    </row>
    <row r="227" spans="1:12" ht="13.8" thickBot="1" x14ac:dyDescent="0.3">
      <c r="A227" s="4" t="s">
        <v>2</v>
      </c>
      <c r="B227" s="65" t="str">
        <f>arrears!B164</f>
        <v xml:space="preserve"> </v>
      </c>
      <c r="C227" s="12" t="s">
        <v>35</v>
      </c>
      <c r="D227" s="12" t="s">
        <v>5</v>
      </c>
      <c r="E227" s="12" t="s">
        <v>5</v>
      </c>
      <c r="F227" s="12" t="s">
        <v>46</v>
      </c>
      <c r="G227" s="12" t="s">
        <v>29</v>
      </c>
      <c r="H227" s="14" t="s">
        <v>27</v>
      </c>
      <c r="I227" s="14" t="s">
        <v>29</v>
      </c>
      <c r="L227" s="215" t="s">
        <v>31</v>
      </c>
    </row>
    <row r="228" spans="1:12" ht="13.8" thickBot="1" x14ac:dyDescent="0.3">
      <c r="A228" s="4" t="s">
        <v>3</v>
      </c>
      <c r="B228" s="4" t="s">
        <v>4</v>
      </c>
      <c r="C228" s="13" t="s">
        <v>34</v>
      </c>
      <c r="D228" s="13" t="s">
        <v>30</v>
      </c>
      <c r="E228" s="13" t="s">
        <v>27</v>
      </c>
      <c r="F228" s="13" t="s">
        <v>47</v>
      </c>
      <c r="G228" s="13" t="s">
        <v>33</v>
      </c>
      <c r="H228" s="15" t="s">
        <v>34</v>
      </c>
      <c r="I228" s="15" t="s">
        <v>31</v>
      </c>
      <c r="L228" s="216" t="s">
        <v>124</v>
      </c>
    </row>
    <row r="229" spans="1:12" ht="13.8" thickBot="1" x14ac:dyDescent="0.3">
      <c r="A229" s="3" t="s">
        <v>7</v>
      </c>
      <c r="B229" s="67">
        <f>arrears!B166</f>
        <v>0</v>
      </c>
      <c r="C229" s="67">
        <f>arrears!C166</f>
        <v>0</v>
      </c>
      <c r="D229" s="68">
        <f>IF(C229&lt;=(G221+B229),C229,IF(C229&lt;=SUM(G221+B229+I221),B229+G221,IF(C229&gt;=SUM(G221+B229+I221),(C229-I221),0)))</f>
        <v>0</v>
      </c>
      <c r="E229" s="67">
        <f t="shared" ref="E229:E240" si="49">IF(C229=D229,0,IF(C229&lt;&gt;D229,(C229-D229)))</f>
        <v>0</v>
      </c>
      <c r="F229" s="69">
        <f t="shared" ref="F229:F240" si="50">B229-D229</f>
        <v>0</v>
      </c>
      <c r="G229" s="156">
        <f>IF(J221="b",0,IF(J229="b",(G221+F229),IF(J229="s",(($M$6)+F229),IF(J229="j",$M$6,IF(J221="e",0,IF(J229="z",0,(G221+F229)))))))</f>
        <v>0</v>
      </c>
      <c r="H229" s="157">
        <f>IF(G229&lt;=0,0,IF(J229="s",0,IF(J229="n",0,IF(J229="e",(G229*$L$229),IF(J229="b",0,IF(J229="j",0,SUM(G229*$L$229)))))))</f>
        <v>0</v>
      </c>
      <c r="I229" s="157">
        <f>IF(J221="b",0,IF(J229="s",(Surcharge-E229+H229),IF(J229="j",0,IF(J221="e",0,(I221-E229+H229)))))</f>
        <v>0</v>
      </c>
      <c r="J229" s="35" t="s">
        <v>26</v>
      </c>
      <c r="L229" s="99">
        <f>IF(B227&lt;2012,0.01,0.005)</f>
        <v>5.0000000000000001E-3</v>
      </c>
    </row>
    <row r="230" spans="1:12" ht="13.8" thickBot="1" x14ac:dyDescent="0.3">
      <c r="A230" s="3" t="s">
        <v>8</v>
      </c>
      <c r="B230" s="67">
        <f>arrears!B167</f>
        <v>0</v>
      </c>
      <c r="C230" s="67">
        <f>arrears!C167</f>
        <v>0</v>
      </c>
      <c r="D230" s="68">
        <f>IF(C230&lt;=(G229+B230),C230,IF(C230&lt;=(G229+B230+I229),B230+G229,IF(C230&gt;SUM(G229+B230+I229),(C230-I229),0)))</f>
        <v>0</v>
      </c>
      <c r="E230" s="67">
        <f t="shared" si="49"/>
        <v>0</v>
      </c>
      <c r="F230" s="69">
        <f t="shared" si="50"/>
        <v>0</v>
      </c>
      <c r="G230" s="156">
        <f>IF(J229="b",0,IF(J230="b",(G229+F230),IF(J230="s",(($M$6)+F230),IF(J230="j",$M$6,IF(J229="e",0,IF(J230="z",0,(G229+F230)))))))</f>
        <v>0</v>
      </c>
      <c r="H230" s="157">
        <f>IF(G230&lt;=0,0,IF(J230="s",0,IF(J230="n",0,IF(J230="e",(G230*$L$229),IF(J230="b",0,IF(J230="j",0,SUM(G230*$L$229)))))))</f>
        <v>0</v>
      </c>
      <c r="I230" s="157">
        <f t="shared" ref="I230:I240" si="51">IF(J229="b",0,IF(J230="s",(Surcharge-E230+H230),IF(J230="j",0,IF(J229="e",0,(I229-E230+H230)))))</f>
        <v>0</v>
      </c>
      <c r="L230" s="99" t="s">
        <v>26</v>
      </c>
    </row>
    <row r="231" spans="1:12" ht="13.8" thickBot="1" x14ac:dyDescent="0.3">
      <c r="A231" s="3" t="s">
        <v>9</v>
      </c>
      <c r="B231" s="67">
        <f>arrears!B168</f>
        <v>0</v>
      </c>
      <c r="C231" s="67">
        <f>arrears!C168</f>
        <v>0</v>
      </c>
      <c r="D231" s="68">
        <f t="shared" ref="D231:D240" si="52">IF(C231&lt;=(G230+B231),C231,IF(C231&lt;=(G230+B231+I230),B231+G230,IF(C231&gt;SUM(G230+B231+I230),(C231-I230),0)))</f>
        <v>0</v>
      </c>
      <c r="E231" s="67">
        <f t="shared" si="49"/>
        <v>0</v>
      </c>
      <c r="F231" s="69">
        <f t="shared" si="50"/>
        <v>0</v>
      </c>
      <c r="G231" s="156">
        <f t="shared" ref="G231:G240" si="53">IF(J230="b",0,IF(J231="b",(G230+F231),IF(J231="s",(($M$6)+F231),IF(J231="j",$M$6,IF(J230="e",0,IF(J231="z",0,(G230+F231)))))))</f>
        <v>0</v>
      </c>
      <c r="H231" s="157">
        <f t="shared" ref="H231:H240" si="54">IF(G231&lt;=0,0,IF(J231="s",0,IF(J231="n",0,IF(J231="e",(G231*$L$229),IF(J231="b",0,IF(J231="j",0,SUM(G231*$L$229)))))))</f>
        <v>0</v>
      </c>
      <c r="I231" s="157">
        <f t="shared" si="51"/>
        <v>0</v>
      </c>
      <c r="L231" s="99" t="s">
        <v>26</v>
      </c>
    </row>
    <row r="232" spans="1:12" ht="13.8" thickBot="1" x14ac:dyDescent="0.3">
      <c r="A232" s="3" t="s">
        <v>10</v>
      </c>
      <c r="B232" s="67">
        <f>arrears!B169</f>
        <v>0</v>
      </c>
      <c r="C232" s="67">
        <f>arrears!C169</f>
        <v>0</v>
      </c>
      <c r="D232" s="68">
        <f t="shared" si="52"/>
        <v>0</v>
      </c>
      <c r="E232" s="67">
        <f t="shared" si="49"/>
        <v>0</v>
      </c>
      <c r="F232" s="69">
        <f t="shared" si="50"/>
        <v>0</v>
      </c>
      <c r="G232" s="156">
        <f t="shared" si="53"/>
        <v>0</v>
      </c>
      <c r="H232" s="157">
        <f t="shared" si="54"/>
        <v>0</v>
      </c>
      <c r="I232" s="157">
        <f t="shared" si="51"/>
        <v>0</v>
      </c>
      <c r="L232" s="99" t="s">
        <v>26</v>
      </c>
    </row>
    <row r="233" spans="1:12" ht="13.8" thickBot="1" x14ac:dyDescent="0.3">
      <c r="A233" s="3" t="s">
        <v>11</v>
      </c>
      <c r="B233" s="67">
        <f>arrears!B170</f>
        <v>0</v>
      </c>
      <c r="C233" s="67">
        <f>arrears!C170</f>
        <v>0</v>
      </c>
      <c r="D233" s="68">
        <f t="shared" si="52"/>
        <v>0</v>
      </c>
      <c r="E233" s="67">
        <f t="shared" si="49"/>
        <v>0</v>
      </c>
      <c r="F233" s="69">
        <f t="shared" si="50"/>
        <v>0</v>
      </c>
      <c r="G233" s="156">
        <f t="shared" si="53"/>
        <v>0</v>
      </c>
      <c r="H233" s="157">
        <f t="shared" si="54"/>
        <v>0</v>
      </c>
      <c r="I233" s="157">
        <f t="shared" si="51"/>
        <v>0</v>
      </c>
      <c r="L233" s="99" t="s">
        <v>26</v>
      </c>
    </row>
    <row r="234" spans="1:12" ht="13.8" thickBot="1" x14ac:dyDescent="0.3">
      <c r="A234" s="3" t="s">
        <v>12</v>
      </c>
      <c r="B234" s="67">
        <f>arrears!B171</f>
        <v>0</v>
      </c>
      <c r="C234" s="67">
        <f>arrears!C171</f>
        <v>0</v>
      </c>
      <c r="D234" s="68">
        <f t="shared" si="52"/>
        <v>0</v>
      </c>
      <c r="E234" s="67">
        <f t="shared" si="49"/>
        <v>0</v>
      </c>
      <c r="F234" s="69">
        <f t="shared" si="50"/>
        <v>0</v>
      </c>
      <c r="G234" s="156">
        <f t="shared" si="53"/>
        <v>0</v>
      </c>
      <c r="H234" s="157">
        <f t="shared" si="54"/>
        <v>0</v>
      </c>
      <c r="I234" s="157">
        <f t="shared" si="51"/>
        <v>0</v>
      </c>
      <c r="L234" s="99" t="s">
        <v>26</v>
      </c>
    </row>
    <row r="235" spans="1:12" ht="13.8" thickBot="1" x14ac:dyDescent="0.3">
      <c r="A235" s="3" t="s">
        <v>13</v>
      </c>
      <c r="B235" s="67">
        <f>arrears!B172</f>
        <v>0</v>
      </c>
      <c r="C235" s="67">
        <f>arrears!C172</f>
        <v>0</v>
      </c>
      <c r="D235" s="68">
        <f t="shared" si="52"/>
        <v>0</v>
      </c>
      <c r="E235" s="67">
        <f t="shared" si="49"/>
        <v>0</v>
      </c>
      <c r="F235" s="69">
        <f t="shared" si="50"/>
        <v>0</v>
      </c>
      <c r="G235" s="156">
        <f t="shared" si="53"/>
        <v>0</v>
      </c>
      <c r="H235" s="157">
        <f t="shared" si="54"/>
        <v>0</v>
      </c>
      <c r="I235" s="157">
        <f t="shared" si="51"/>
        <v>0</v>
      </c>
      <c r="L235" s="99" t="s">
        <v>26</v>
      </c>
    </row>
    <row r="236" spans="1:12" ht="13.8" thickBot="1" x14ac:dyDescent="0.3">
      <c r="A236" s="3" t="s">
        <v>14</v>
      </c>
      <c r="B236" s="67">
        <f>arrears!B173</f>
        <v>0</v>
      </c>
      <c r="C236" s="67">
        <f>arrears!C173</f>
        <v>0</v>
      </c>
      <c r="D236" s="68">
        <f t="shared" si="52"/>
        <v>0</v>
      </c>
      <c r="E236" s="67">
        <f t="shared" si="49"/>
        <v>0</v>
      </c>
      <c r="F236" s="69">
        <f t="shared" si="50"/>
        <v>0</v>
      </c>
      <c r="G236" s="156">
        <f t="shared" si="53"/>
        <v>0</v>
      </c>
      <c r="H236" s="157">
        <f t="shared" si="54"/>
        <v>0</v>
      </c>
      <c r="I236" s="157">
        <f t="shared" si="51"/>
        <v>0</v>
      </c>
      <c r="L236" s="99" t="s">
        <v>26</v>
      </c>
    </row>
    <row r="237" spans="1:12" ht="13.8" thickBot="1" x14ac:dyDescent="0.3">
      <c r="A237" s="3" t="s">
        <v>15</v>
      </c>
      <c r="B237" s="67">
        <f>arrears!B174</f>
        <v>0</v>
      </c>
      <c r="C237" s="67">
        <f>arrears!C174</f>
        <v>0</v>
      </c>
      <c r="D237" s="68">
        <f t="shared" si="52"/>
        <v>0</v>
      </c>
      <c r="E237" s="67">
        <f t="shared" si="49"/>
        <v>0</v>
      </c>
      <c r="F237" s="69">
        <f t="shared" si="50"/>
        <v>0</v>
      </c>
      <c r="G237" s="156">
        <f t="shared" si="53"/>
        <v>0</v>
      </c>
      <c r="H237" s="157">
        <f t="shared" si="54"/>
        <v>0</v>
      </c>
      <c r="I237" s="157">
        <f t="shared" si="51"/>
        <v>0</v>
      </c>
      <c r="L237" s="99" t="s">
        <v>36</v>
      </c>
    </row>
    <row r="238" spans="1:12" ht="13.8" thickBot="1" x14ac:dyDescent="0.3">
      <c r="A238" s="3" t="s">
        <v>16</v>
      </c>
      <c r="B238" s="67">
        <f>arrears!B175</f>
        <v>0</v>
      </c>
      <c r="C238" s="67">
        <f>arrears!C175</f>
        <v>0</v>
      </c>
      <c r="D238" s="68">
        <f t="shared" si="52"/>
        <v>0</v>
      </c>
      <c r="E238" s="67">
        <f t="shared" si="49"/>
        <v>0</v>
      </c>
      <c r="F238" s="69">
        <f t="shared" si="50"/>
        <v>0</v>
      </c>
      <c r="G238" s="156">
        <f t="shared" si="53"/>
        <v>0</v>
      </c>
      <c r="H238" s="157">
        <f t="shared" si="54"/>
        <v>0</v>
      </c>
      <c r="I238" s="157">
        <f t="shared" si="51"/>
        <v>0</v>
      </c>
      <c r="L238" s="99" t="s">
        <v>26</v>
      </c>
    </row>
    <row r="239" spans="1:12" ht="13.8" thickBot="1" x14ac:dyDescent="0.3">
      <c r="A239" s="3" t="s">
        <v>17</v>
      </c>
      <c r="B239" s="67">
        <f>arrears!B176</f>
        <v>0</v>
      </c>
      <c r="C239" s="67">
        <f>arrears!C176</f>
        <v>0</v>
      </c>
      <c r="D239" s="68">
        <f t="shared" si="52"/>
        <v>0</v>
      </c>
      <c r="E239" s="67">
        <f t="shared" si="49"/>
        <v>0</v>
      </c>
      <c r="F239" s="69">
        <f t="shared" si="50"/>
        <v>0</v>
      </c>
      <c r="G239" s="156">
        <f t="shared" si="53"/>
        <v>0</v>
      </c>
      <c r="H239" s="157">
        <f t="shared" si="54"/>
        <v>0</v>
      </c>
      <c r="I239" s="157">
        <f t="shared" si="51"/>
        <v>0</v>
      </c>
      <c r="L239" s="99" t="s">
        <v>26</v>
      </c>
    </row>
    <row r="240" spans="1:12" ht="13.8" thickBot="1" x14ac:dyDescent="0.3">
      <c r="A240" s="3" t="s">
        <v>18</v>
      </c>
      <c r="B240" s="67">
        <f>arrears!B177</f>
        <v>0</v>
      </c>
      <c r="C240" s="67">
        <f>arrears!C177</f>
        <v>0</v>
      </c>
      <c r="D240" s="68">
        <f t="shared" si="52"/>
        <v>0</v>
      </c>
      <c r="E240" s="67">
        <f t="shared" si="49"/>
        <v>0</v>
      </c>
      <c r="F240" s="69">
        <f t="shared" si="50"/>
        <v>0</v>
      </c>
      <c r="G240" s="156">
        <f t="shared" si="53"/>
        <v>0</v>
      </c>
      <c r="H240" s="157">
        <f t="shared" si="54"/>
        <v>0</v>
      </c>
      <c r="I240" s="157">
        <f t="shared" si="51"/>
        <v>0</v>
      </c>
      <c r="J240" s="35" t="s">
        <v>26</v>
      </c>
      <c r="L240" s="99" t="s">
        <v>26</v>
      </c>
    </row>
    <row r="241" spans="1:12" ht="13.8" thickBot="1" x14ac:dyDescent="0.3">
      <c r="A241" s="7" t="s">
        <v>19</v>
      </c>
      <c r="B241" s="72">
        <f>SUM(B229:B240)</f>
        <v>0</v>
      </c>
      <c r="C241" s="72">
        <f>SUM(C229:C240)</f>
        <v>0</v>
      </c>
      <c r="D241" s="72">
        <f>SUM(D229:D240)</f>
        <v>0</v>
      </c>
      <c r="E241" s="73">
        <f>SUM(E229:E240)</f>
        <v>0</v>
      </c>
      <c r="F241" s="73">
        <f>SUM(F229:F240)</f>
        <v>0</v>
      </c>
      <c r="G241" s="71" t="s">
        <v>26</v>
      </c>
      <c r="H241" s="74">
        <f xml:space="preserve"> SUM(H229:H240)</f>
        <v>0</v>
      </c>
      <c r="I241" s="75"/>
    </row>
    <row r="242" spans="1:12" x14ac:dyDescent="0.25">
      <c r="A242" s="207">
        <f>arrears!A179</f>
        <v>0</v>
      </c>
    </row>
    <row r="243" spans="1:12" x14ac:dyDescent="0.25">
      <c r="A243" s="207">
        <f>arrears!A180</f>
        <v>0</v>
      </c>
    </row>
    <row r="244" spans="1:12" x14ac:dyDescent="0.25">
      <c r="A244" s="207">
        <f>arrears!A181</f>
        <v>0</v>
      </c>
    </row>
    <row r="245" spans="1:12" x14ac:dyDescent="0.25">
      <c r="A245" s="207">
        <f>arrears!A182</f>
        <v>0</v>
      </c>
    </row>
    <row r="246" spans="1:12" x14ac:dyDescent="0.25">
      <c r="A246" s="18"/>
      <c r="B246" s="18"/>
      <c r="C246" s="18"/>
      <c r="D246" s="18"/>
      <c r="E246" s="18"/>
      <c r="F246" s="17"/>
      <c r="G246" s="18"/>
      <c r="H246" s="18"/>
      <c r="I246" s="17"/>
    </row>
    <row r="247" spans="1:12" x14ac:dyDescent="0.25">
      <c r="A247" s="18"/>
      <c r="B247" s="18"/>
      <c r="C247" s="18"/>
      <c r="D247" s="18"/>
      <c r="E247" s="18"/>
      <c r="F247" s="18"/>
      <c r="G247" s="18"/>
      <c r="H247" s="18"/>
      <c r="I247" s="17"/>
    </row>
    <row r="248" spans="1:12" x14ac:dyDescent="0.25">
      <c r="A248" s="2"/>
      <c r="B248" s="6" t="s">
        <v>0</v>
      </c>
      <c r="C248" s="63" t="str">
        <f>$C$3</f>
        <v xml:space="preserve"> </v>
      </c>
      <c r="D248" s="1"/>
      <c r="E248" s="1"/>
      <c r="F248" s="6" t="s">
        <v>53</v>
      </c>
      <c r="G248" s="63" t="str">
        <f>$G$3</f>
        <v xml:space="preserve"> </v>
      </c>
      <c r="H248" s="18"/>
      <c r="I248" s="17"/>
    </row>
    <row r="249" spans="1:12" x14ac:dyDescent="0.25">
      <c r="A249" s="2"/>
      <c r="B249" s="6" t="s">
        <v>1</v>
      </c>
      <c r="C249" s="63" t="str">
        <f>$C$4</f>
        <v xml:space="preserve"> </v>
      </c>
      <c r="D249" s="1"/>
      <c r="E249" s="1"/>
      <c r="F249" s="6" t="s">
        <v>26</v>
      </c>
      <c r="G249" s="1" t="s">
        <v>26</v>
      </c>
      <c r="H249" s="18"/>
      <c r="I249" s="17"/>
    </row>
    <row r="250" spans="1:12" x14ac:dyDescent="0.25">
      <c r="A250" s="18"/>
      <c r="B250" s="18"/>
      <c r="C250" s="18"/>
      <c r="D250" s="18"/>
      <c r="E250" s="18"/>
      <c r="F250" s="18"/>
      <c r="G250" s="18"/>
      <c r="H250" s="18"/>
      <c r="I250" s="17"/>
    </row>
    <row r="251" spans="1:12" ht="13.8" thickBot="1" x14ac:dyDescent="0.3">
      <c r="A251" s="18"/>
      <c r="B251" s="18"/>
      <c r="C251" s="18"/>
      <c r="D251" s="18"/>
      <c r="E251" s="18"/>
      <c r="F251" s="18"/>
      <c r="G251" s="18"/>
      <c r="H251" s="18"/>
      <c r="I251" s="17"/>
    </row>
    <row r="252" spans="1:12" ht="13.8" thickBot="1" x14ac:dyDescent="0.3">
      <c r="A252" s="4" t="s">
        <v>2</v>
      </c>
      <c r="B252" s="65" t="str">
        <f>arrears!G164</f>
        <v xml:space="preserve"> </v>
      </c>
      <c r="C252" s="12" t="s">
        <v>35</v>
      </c>
      <c r="D252" s="12" t="s">
        <v>5</v>
      </c>
      <c r="E252" s="12" t="s">
        <v>5</v>
      </c>
      <c r="F252" s="12" t="s">
        <v>46</v>
      </c>
      <c r="G252" s="12" t="s">
        <v>29</v>
      </c>
      <c r="H252" s="14" t="s">
        <v>27</v>
      </c>
      <c r="I252" s="14" t="s">
        <v>29</v>
      </c>
      <c r="L252" s="215" t="s">
        <v>31</v>
      </c>
    </row>
    <row r="253" spans="1:12" ht="13.8" thickBot="1" x14ac:dyDescent="0.3">
      <c r="A253" s="4" t="s">
        <v>3</v>
      </c>
      <c r="B253" s="4" t="s">
        <v>4</v>
      </c>
      <c r="C253" s="13" t="s">
        <v>34</v>
      </c>
      <c r="D253" s="13" t="s">
        <v>30</v>
      </c>
      <c r="E253" s="13" t="s">
        <v>27</v>
      </c>
      <c r="F253" s="13" t="s">
        <v>47</v>
      </c>
      <c r="G253" s="13" t="s">
        <v>33</v>
      </c>
      <c r="H253" s="15" t="s">
        <v>34</v>
      </c>
      <c r="I253" s="15" t="s">
        <v>31</v>
      </c>
      <c r="L253" s="216" t="s">
        <v>124</v>
      </c>
    </row>
    <row r="254" spans="1:12" ht="13.8" thickBot="1" x14ac:dyDescent="0.3">
      <c r="A254" s="3" t="s">
        <v>7</v>
      </c>
      <c r="B254" s="67">
        <f>arrears!G166</f>
        <v>0</v>
      </c>
      <c r="C254" s="67">
        <f>arrears!H166</f>
        <v>0</v>
      </c>
      <c r="D254" s="68">
        <f>IF(C254&lt;=(G240+B254),C254,IF(C254&lt;=SUM(G240+B254+I240),B254+G240,IF(C254&gt;=SUM(G240+B254+I240),(C254-I240),0)))</f>
        <v>0</v>
      </c>
      <c r="E254" s="67">
        <f t="shared" ref="E254:E265" si="55">IF(C254=D254,0,IF(C254&lt;&gt;D254,(C254-D254)))</f>
        <v>0</v>
      </c>
      <c r="F254" s="69">
        <f t="shared" ref="F254:F265" si="56">B254-D254</f>
        <v>0</v>
      </c>
      <c r="G254" s="70">
        <f>IF(J240="b",0,IF(J254="b",(G240+F254),IF(J254="s",(($M$6)+F254),IF(J254="j",$M$6,IF(J240="e",0,IF(J254="z",0,(G240+F254)))))))</f>
        <v>0</v>
      </c>
      <c r="H254" s="157">
        <f>IF(G254&lt;=0,0,IF(J254="s",0,IF(J254="n",0,IF(J254="e",(G254*$L$254),IF(J254="b",0,IF(J254="j",0,SUM(G254*$L$254)))))))</f>
        <v>0</v>
      </c>
      <c r="I254" s="71">
        <f>IF(J240="b",0,IF(J254="s",(Surcharge-E254+H254),IF(J254="j",0,IF(J240="e",0,(I240-E254+H254)))))</f>
        <v>0</v>
      </c>
      <c r="L254" s="99">
        <f>IF(B252&lt;2012,0.01,0.005)</f>
        <v>5.0000000000000001E-3</v>
      </c>
    </row>
    <row r="255" spans="1:12" ht="13.8" thickBot="1" x14ac:dyDescent="0.3">
      <c r="A255" s="3" t="s">
        <v>8</v>
      </c>
      <c r="B255" s="67">
        <f>arrears!G167</f>
        <v>0</v>
      </c>
      <c r="C255" s="67">
        <f>arrears!H167</f>
        <v>0</v>
      </c>
      <c r="D255" s="68">
        <f>IF(C255&lt;=(G254+B255),C255,IF(C255&lt;=(G254+B255+I254),B255+G254,IF(C255&gt;SUM(G254+B255+I254),(C255-I254),0)))</f>
        <v>0</v>
      </c>
      <c r="E255" s="67">
        <f t="shared" si="55"/>
        <v>0</v>
      </c>
      <c r="F255" s="69">
        <f t="shared" si="56"/>
        <v>0</v>
      </c>
      <c r="G255" s="156">
        <f>IF(J254="b",0,IF(J255="b",(G254+F255),IF(J255="s",(($M$6)+F255),IF(J255="j",$M$6,IF(J254="e",0,IF(J255="z",0,(G254+F255)))))))</f>
        <v>0</v>
      </c>
      <c r="H255" s="157">
        <f>IF(G255&lt;=0,0,IF(J255="s",0,IF(J255="n",0,IF(J255="e",(G255*$L$254),IF(J255="b",0,IF(J255="j",0,SUM(G255*$L$254)))))))</f>
        <v>0</v>
      </c>
      <c r="I255" s="157">
        <f t="shared" ref="I255:I265" si="57">IF(J254="b",0,IF(J255="s",(Surcharge-E255+H255),IF(J255="j",0,IF(J254="e",0,(I254-E255+H255)))))</f>
        <v>0</v>
      </c>
      <c r="L255" s="99" t="s">
        <v>26</v>
      </c>
    </row>
    <row r="256" spans="1:12" ht="13.8" thickBot="1" x14ac:dyDescent="0.3">
      <c r="A256" s="3" t="s">
        <v>9</v>
      </c>
      <c r="B256" s="67">
        <f>arrears!G168</f>
        <v>0</v>
      </c>
      <c r="C256" s="67">
        <f>arrears!H168</f>
        <v>0</v>
      </c>
      <c r="D256" s="68">
        <f t="shared" ref="D256:D265" si="58">IF(C256&lt;=(G255+B256),C256,IF(C256&lt;=(G255+B256+I255),B256+G255,IF(C256&gt;SUM(G255+B256+I255),(C256-I255),0)))</f>
        <v>0</v>
      </c>
      <c r="E256" s="67">
        <f t="shared" si="55"/>
        <v>0</v>
      </c>
      <c r="F256" s="69">
        <f t="shared" si="56"/>
        <v>0</v>
      </c>
      <c r="G256" s="156">
        <f t="shared" ref="G256:G265" si="59">IF(J255="b",0,IF(J256="b",(G255+F256),IF(J256="s",(($M$6)+F256),IF(J256="j",$M$6,IF(J255="e",0,IF(J256="z",0,(G255+F256)))))))</f>
        <v>0</v>
      </c>
      <c r="H256" s="157">
        <f t="shared" ref="H256:H265" si="60">IF(G256&lt;=0,0,IF(J256="s",0,IF(J256="n",0,IF(J256="e",(G256*$L$254),IF(J256="b",0,IF(J256="j",0,SUM(G256*$L$254)))))))</f>
        <v>0</v>
      </c>
      <c r="I256" s="157">
        <f t="shared" si="57"/>
        <v>0</v>
      </c>
      <c r="L256" s="99" t="s">
        <v>26</v>
      </c>
    </row>
    <row r="257" spans="1:12" ht="13.8" thickBot="1" x14ac:dyDescent="0.3">
      <c r="A257" s="3" t="s">
        <v>10</v>
      </c>
      <c r="B257" s="67">
        <f>arrears!G169</f>
        <v>0</v>
      </c>
      <c r="C257" s="67">
        <f>arrears!H169</f>
        <v>0</v>
      </c>
      <c r="D257" s="68">
        <f t="shared" si="58"/>
        <v>0</v>
      </c>
      <c r="E257" s="67">
        <f t="shared" si="55"/>
        <v>0</v>
      </c>
      <c r="F257" s="69">
        <f t="shared" si="56"/>
        <v>0</v>
      </c>
      <c r="G257" s="156">
        <f t="shared" si="59"/>
        <v>0</v>
      </c>
      <c r="H257" s="157">
        <f t="shared" si="60"/>
        <v>0</v>
      </c>
      <c r="I257" s="157">
        <f t="shared" si="57"/>
        <v>0</v>
      </c>
      <c r="L257" s="99" t="s">
        <v>26</v>
      </c>
    </row>
    <row r="258" spans="1:12" ht="13.8" thickBot="1" x14ac:dyDescent="0.3">
      <c r="A258" s="3" t="s">
        <v>11</v>
      </c>
      <c r="B258" s="67">
        <f>arrears!G170</f>
        <v>0</v>
      </c>
      <c r="C258" s="67">
        <f>arrears!H170</f>
        <v>0</v>
      </c>
      <c r="D258" s="68">
        <f t="shared" si="58"/>
        <v>0</v>
      </c>
      <c r="E258" s="67">
        <f t="shared" si="55"/>
        <v>0</v>
      </c>
      <c r="F258" s="69">
        <f t="shared" si="56"/>
        <v>0</v>
      </c>
      <c r="G258" s="156">
        <f t="shared" si="59"/>
        <v>0</v>
      </c>
      <c r="H258" s="157">
        <f t="shared" si="60"/>
        <v>0</v>
      </c>
      <c r="I258" s="157">
        <f t="shared" si="57"/>
        <v>0</v>
      </c>
      <c r="L258" s="99" t="s">
        <v>26</v>
      </c>
    </row>
    <row r="259" spans="1:12" ht="13.8" thickBot="1" x14ac:dyDescent="0.3">
      <c r="A259" s="3" t="s">
        <v>12</v>
      </c>
      <c r="B259" s="67">
        <f>arrears!G171</f>
        <v>0</v>
      </c>
      <c r="C259" s="67">
        <f>arrears!H171</f>
        <v>0</v>
      </c>
      <c r="D259" s="68">
        <f t="shared" si="58"/>
        <v>0</v>
      </c>
      <c r="E259" s="67">
        <f t="shared" si="55"/>
        <v>0</v>
      </c>
      <c r="F259" s="69">
        <f t="shared" si="56"/>
        <v>0</v>
      </c>
      <c r="G259" s="156">
        <f t="shared" si="59"/>
        <v>0</v>
      </c>
      <c r="H259" s="157">
        <f t="shared" si="60"/>
        <v>0</v>
      </c>
      <c r="I259" s="157">
        <f t="shared" si="57"/>
        <v>0</v>
      </c>
      <c r="L259" s="99" t="s">
        <v>26</v>
      </c>
    </row>
    <row r="260" spans="1:12" ht="13.8" thickBot="1" x14ac:dyDescent="0.3">
      <c r="A260" s="3" t="s">
        <v>13</v>
      </c>
      <c r="B260" s="67">
        <f>arrears!G172</f>
        <v>0</v>
      </c>
      <c r="C260" s="67">
        <f>arrears!H172</f>
        <v>0</v>
      </c>
      <c r="D260" s="68">
        <f t="shared" si="58"/>
        <v>0</v>
      </c>
      <c r="E260" s="67">
        <f t="shared" si="55"/>
        <v>0</v>
      </c>
      <c r="F260" s="69">
        <f t="shared" si="56"/>
        <v>0</v>
      </c>
      <c r="G260" s="156">
        <f t="shared" si="59"/>
        <v>0</v>
      </c>
      <c r="H260" s="157">
        <f t="shared" si="60"/>
        <v>0</v>
      </c>
      <c r="I260" s="157">
        <f t="shared" si="57"/>
        <v>0</v>
      </c>
      <c r="L260" s="99" t="s">
        <v>26</v>
      </c>
    </row>
    <row r="261" spans="1:12" ht="13.8" thickBot="1" x14ac:dyDescent="0.3">
      <c r="A261" s="3" t="s">
        <v>14</v>
      </c>
      <c r="B261" s="67">
        <f>arrears!G173</f>
        <v>0</v>
      </c>
      <c r="C261" s="67">
        <f>arrears!H173</f>
        <v>0</v>
      </c>
      <c r="D261" s="68">
        <f t="shared" si="58"/>
        <v>0</v>
      </c>
      <c r="E261" s="67">
        <f t="shared" si="55"/>
        <v>0</v>
      </c>
      <c r="F261" s="69">
        <f t="shared" si="56"/>
        <v>0</v>
      </c>
      <c r="G261" s="156">
        <f t="shared" si="59"/>
        <v>0</v>
      </c>
      <c r="H261" s="157">
        <f t="shared" si="60"/>
        <v>0</v>
      </c>
      <c r="I261" s="157">
        <f t="shared" si="57"/>
        <v>0</v>
      </c>
      <c r="L261" s="99" t="s">
        <v>26</v>
      </c>
    </row>
    <row r="262" spans="1:12" ht="13.8" thickBot="1" x14ac:dyDescent="0.3">
      <c r="A262" s="3" t="s">
        <v>15</v>
      </c>
      <c r="B262" s="67">
        <f>arrears!G174</f>
        <v>0</v>
      </c>
      <c r="C262" s="67">
        <f>arrears!H174</f>
        <v>0</v>
      </c>
      <c r="D262" s="68">
        <f t="shared" si="58"/>
        <v>0</v>
      </c>
      <c r="E262" s="67">
        <f t="shared" si="55"/>
        <v>0</v>
      </c>
      <c r="F262" s="69">
        <f t="shared" si="56"/>
        <v>0</v>
      </c>
      <c r="G262" s="156">
        <f t="shared" si="59"/>
        <v>0</v>
      </c>
      <c r="H262" s="157">
        <f t="shared" si="60"/>
        <v>0</v>
      </c>
      <c r="I262" s="157">
        <f t="shared" si="57"/>
        <v>0</v>
      </c>
      <c r="L262" s="99" t="s">
        <v>26</v>
      </c>
    </row>
    <row r="263" spans="1:12" ht="13.8" thickBot="1" x14ac:dyDescent="0.3">
      <c r="A263" s="3" t="s">
        <v>16</v>
      </c>
      <c r="B263" s="67">
        <f>arrears!G175</f>
        <v>0</v>
      </c>
      <c r="C263" s="67">
        <f>arrears!H175</f>
        <v>0</v>
      </c>
      <c r="D263" s="68">
        <f t="shared" si="58"/>
        <v>0</v>
      </c>
      <c r="E263" s="67">
        <f t="shared" si="55"/>
        <v>0</v>
      </c>
      <c r="F263" s="69">
        <f t="shared" si="56"/>
        <v>0</v>
      </c>
      <c r="G263" s="156">
        <f t="shared" si="59"/>
        <v>0</v>
      </c>
      <c r="H263" s="157">
        <f t="shared" si="60"/>
        <v>0</v>
      </c>
      <c r="I263" s="157">
        <f t="shared" si="57"/>
        <v>0</v>
      </c>
      <c r="L263" s="99" t="s">
        <v>26</v>
      </c>
    </row>
    <row r="264" spans="1:12" ht="13.8" thickBot="1" x14ac:dyDescent="0.3">
      <c r="A264" s="3" t="s">
        <v>17</v>
      </c>
      <c r="B264" s="67">
        <f>arrears!G176</f>
        <v>0</v>
      </c>
      <c r="C264" s="67">
        <f>arrears!H176</f>
        <v>0</v>
      </c>
      <c r="D264" s="68">
        <f t="shared" si="58"/>
        <v>0</v>
      </c>
      <c r="E264" s="67">
        <f t="shared" si="55"/>
        <v>0</v>
      </c>
      <c r="F264" s="69">
        <f t="shared" si="56"/>
        <v>0</v>
      </c>
      <c r="G264" s="156">
        <f t="shared" si="59"/>
        <v>0</v>
      </c>
      <c r="H264" s="157">
        <f t="shared" si="60"/>
        <v>0</v>
      </c>
      <c r="I264" s="157">
        <f t="shared" si="57"/>
        <v>0</v>
      </c>
      <c r="L264" s="99" t="s">
        <v>36</v>
      </c>
    </row>
    <row r="265" spans="1:12" ht="13.8" thickBot="1" x14ac:dyDescent="0.3">
      <c r="A265" s="3" t="s">
        <v>18</v>
      </c>
      <c r="B265" s="67">
        <f>arrears!G177</f>
        <v>0</v>
      </c>
      <c r="C265" s="67">
        <f>arrears!H177</f>
        <v>0</v>
      </c>
      <c r="D265" s="68">
        <f t="shared" si="58"/>
        <v>0</v>
      </c>
      <c r="E265" s="67">
        <f t="shared" si="55"/>
        <v>0</v>
      </c>
      <c r="F265" s="69">
        <f t="shared" si="56"/>
        <v>0</v>
      </c>
      <c r="G265" s="156">
        <f t="shared" si="59"/>
        <v>0</v>
      </c>
      <c r="H265" s="157">
        <f t="shared" si="60"/>
        <v>0</v>
      </c>
      <c r="I265" s="157">
        <f t="shared" si="57"/>
        <v>0</v>
      </c>
      <c r="J265" s="35" t="s">
        <v>26</v>
      </c>
      <c r="L265" s="99" t="s">
        <v>26</v>
      </c>
    </row>
    <row r="266" spans="1:12" ht="13.8" thickBot="1" x14ac:dyDescent="0.3">
      <c r="A266" s="7" t="s">
        <v>19</v>
      </c>
      <c r="B266" s="72">
        <f>SUM(B254:B265)</f>
        <v>0</v>
      </c>
      <c r="C266" s="72">
        <f>SUM(C254:C265)</f>
        <v>0</v>
      </c>
      <c r="D266" s="72">
        <f>SUM(D254:D265)</f>
        <v>0</v>
      </c>
      <c r="E266" s="73">
        <f>SUM(E254:E265)</f>
        <v>0</v>
      </c>
      <c r="F266" s="73">
        <f>SUM(F254:F265)</f>
        <v>0</v>
      </c>
      <c r="G266" s="71" t="s">
        <v>26</v>
      </c>
      <c r="H266" s="74">
        <f xml:space="preserve"> SUM(H254:H265)</f>
        <v>0</v>
      </c>
      <c r="I266" s="75"/>
    </row>
    <row r="267" spans="1:12" x14ac:dyDescent="0.25">
      <c r="A267" s="181">
        <f>arrears!F179</f>
        <v>0</v>
      </c>
    </row>
    <row r="268" spans="1:12" x14ac:dyDescent="0.25">
      <c r="A268" s="181">
        <f>arrears!F180</f>
        <v>0</v>
      </c>
    </row>
    <row r="269" spans="1:12" x14ac:dyDescent="0.25">
      <c r="A269" s="181">
        <f>arrears!F181</f>
        <v>0</v>
      </c>
    </row>
    <row r="270" spans="1:12" ht="13.8" thickBot="1" x14ac:dyDescent="0.3">
      <c r="A270" s="181">
        <f>arrears!F182</f>
        <v>0</v>
      </c>
    </row>
    <row r="271" spans="1:12" ht="13.8" thickBot="1" x14ac:dyDescent="0.3">
      <c r="A271" s="4" t="s">
        <v>2</v>
      </c>
      <c r="B271" s="65" t="str">
        <f>arrears!B183</f>
        <v xml:space="preserve"> </v>
      </c>
      <c r="C271" s="12" t="s">
        <v>35</v>
      </c>
      <c r="D271" s="12" t="s">
        <v>5</v>
      </c>
      <c r="E271" s="12" t="s">
        <v>5</v>
      </c>
      <c r="F271" s="12" t="s">
        <v>46</v>
      </c>
      <c r="G271" s="12" t="s">
        <v>29</v>
      </c>
      <c r="H271" s="14" t="s">
        <v>27</v>
      </c>
      <c r="I271" s="14" t="s">
        <v>29</v>
      </c>
      <c r="L271" s="215" t="s">
        <v>31</v>
      </c>
    </row>
    <row r="272" spans="1:12" ht="13.8" thickBot="1" x14ac:dyDescent="0.3">
      <c r="A272" s="4" t="s">
        <v>3</v>
      </c>
      <c r="B272" s="4" t="s">
        <v>4</v>
      </c>
      <c r="C272" s="13" t="s">
        <v>34</v>
      </c>
      <c r="D272" s="13" t="s">
        <v>30</v>
      </c>
      <c r="E272" s="13" t="s">
        <v>27</v>
      </c>
      <c r="F272" s="13" t="s">
        <v>47</v>
      </c>
      <c r="G272" s="13" t="s">
        <v>33</v>
      </c>
      <c r="H272" s="15" t="s">
        <v>34</v>
      </c>
      <c r="I272" s="15" t="s">
        <v>31</v>
      </c>
      <c r="L272" s="216" t="s">
        <v>124</v>
      </c>
    </row>
    <row r="273" spans="1:12" ht="13.8" thickBot="1" x14ac:dyDescent="0.3">
      <c r="A273" s="3" t="s">
        <v>7</v>
      </c>
      <c r="B273" s="67">
        <f>arrears!B185</f>
        <v>0</v>
      </c>
      <c r="C273" s="67">
        <f>arrears!C185</f>
        <v>0</v>
      </c>
      <c r="D273" s="68">
        <f>IF(C273&lt;=(G265+B273),C273,IF(C273&lt;=SUM(G265+B273+I265),B273+G265,IF(C273&gt;=SUM(G265+B273+I265),(C273-I265),0)))</f>
        <v>0</v>
      </c>
      <c r="E273" s="67">
        <f t="shared" ref="E273:E284" si="61">IF(C273=D273,0,IF(C273&lt;&gt;D273,(C273-D273)))</f>
        <v>0</v>
      </c>
      <c r="F273" s="69">
        <f t="shared" ref="F273:F284" si="62">B273-D273</f>
        <v>0</v>
      </c>
      <c r="G273" s="156">
        <f>IF(J265="b",0,IF(J273="b",(G265+F273),IF(J273="s",(($M$6)+F273),IF(J273="j",$M$6,IF(J265="e",0,IF(J273="z",0,(G265+F273)))))))</f>
        <v>0</v>
      </c>
      <c r="H273" s="157">
        <f>IF(G273&lt;=0,0,IF(J273="s",0,IF(J273="n",0,IF(J273="e",(G273*$L$273),IF(J273="b",0,IF(J273="j",0,SUM(G273*$L$273)))))))</f>
        <v>0</v>
      </c>
      <c r="I273" s="157">
        <f>IF(J266="b",0,IF(J273="s",(Surcharge-E273+H273),IF(J273="j",0,IF(J265="e",0,(I265-E273+H273)))))</f>
        <v>0</v>
      </c>
      <c r="J273" s="35" t="s">
        <v>26</v>
      </c>
      <c r="L273" s="99">
        <f>IF(B271&lt;2012,0.01,0.005)</f>
        <v>5.0000000000000001E-3</v>
      </c>
    </row>
    <row r="274" spans="1:12" ht="13.8" thickBot="1" x14ac:dyDescent="0.3">
      <c r="A274" s="3" t="s">
        <v>8</v>
      </c>
      <c r="B274" s="67">
        <f>arrears!B186</f>
        <v>0</v>
      </c>
      <c r="C274" s="67">
        <f>arrears!C186</f>
        <v>0</v>
      </c>
      <c r="D274" s="68">
        <f>IF(C274&lt;=(G273+B274),C274,IF(C274&lt;=(G273+B274+I273),B274+G273,IF(C274&gt;SUM(G273+B274+I273),(C274-I273),0)))</f>
        <v>0</v>
      </c>
      <c r="E274" s="67">
        <f t="shared" si="61"/>
        <v>0</v>
      </c>
      <c r="F274" s="69">
        <f t="shared" si="62"/>
        <v>0</v>
      </c>
      <c r="G274" s="156">
        <f>IF(J273="b",0,IF(J274="b",(G273+F274),IF(J274="s",(($M$6)+F274),IF(J274="j",$M$6,IF(J273="e",0,IF(J274="z",0,(G273+F274)))))))</f>
        <v>0</v>
      </c>
      <c r="H274" s="157">
        <f>IF(G274&lt;=0,0,IF(J274="s",0,IF(J274="n",0,IF(J274="e",(G274*$L$273),IF(J274="b",0,IF(J274="j",0,SUM(G274*$L$273)))))))</f>
        <v>0</v>
      </c>
      <c r="I274" s="157">
        <f t="shared" ref="I274:I284" si="63">IF(J273="b",0,IF(J274="s",(Surcharge-E274+H274),IF(J274="j",0,IF(J273="e",0,(I273-E274+H274)))))</f>
        <v>0</v>
      </c>
      <c r="L274" s="99" t="s">
        <v>26</v>
      </c>
    </row>
    <row r="275" spans="1:12" ht="13.8" thickBot="1" x14ac:dyDescent="0.3">
      <c r="A275" s="3" t="s">
        <v>9</v>
      </c>
      <c r="B275" s="67">
        <f>arrears!B187</f>
        <v>0</v>
      </c>
      <c r="C275" s="67">
        <f>arrears!C187</f>
        <v>0</v>
      </c>
      <c r="D275" s="68">
        <f t="shared" ref="D275:D284" si="64">IF(C275&lt;=(G274+B275),C275,IF(C275&lt;=(G274+B275+I274),B275+G274,IF(C275&gt;SUM(G274+B275+I274),(C275-I274),0)))</f>
        <v>0</v>
      </c>
      <c r="E275" s="67">
        <f t="shared" si="61"/>
        <v>0</v>
      </c>
      <c r="F275" s="69">
        <f t="shared" si="62"/>
        <v>0</v>
      </c>
      <c r="G275" s="156">
        <f t="shared" ref="G275:G284" si="65">IF(J274="b",0,IF(J275="b",(G274+F275),IF(J275="s",(($M$6)+F275),IF(J275="j",$M$6,IF(J274="e",0,IF(J275="z",0,(G274+F275)))))))</f>
        <v>0</v>
      </c>
      <c r="H275" s="157">
        <f t="shared" ref="H275:H284" si="66">IF(G275&lt;=0,0,IF(J275="s",0,IF(J275="n",0,IF(J275="e",(G275*$L$273),IF(J275="b",0,IF(J275="j",0,SUM(G275*$L$273)))))))</f>
        <v>0</v>
      </c>
      <c r="I275" s="157">
        <f t="shared" si="63"/>
        <v>0</v>
      </c>
      <c r="L275" s="99" t="s">
        <v>26</v>
      </c>
    </row>
    <row r="276" spans="1:12" ht="13.8" thickBot="1" x14ac:dyDescent="0.3">
      <c r="A276" s="3" t="s">
        <v>10</v>
      </c>
      <c r="B276" s="67">
        <f>arrears!B188</f>
        <v>0</v>
      </c>
      <c r="C276" s="67">
        <f>arrears!C188</f>
        <v>0</v>
      </c>
      <c r="D276" s="68">
        <f t="shared" si="64"/>
        <v>0</v>
      </c>
      <c r="E276" s="67">
        <f t="shared" si="61"/>
        <v>0</v>
      </c>
      <c r="F276" s="69">
        <f t="shared" si="62"/>
        <v>0</v>
      </c>
      <c r="G276" s="156">
        <f t="shared" si="65"/>
        <v>0</v>
      </c>
      <c r="H276" s="157">
        <f t="shared" si="66"/>
        <v>0</v>
      </c>
      <c r="I276" s="157">
        <f t="shared" si="63"/>
        <v>0</v>
      </c>
      <c r="L276" s="99" t="s">
        <v>26</v>
      </c>
    </row>
    <row r="277" spans="1:12" ht="13.8" thickBot="1" x14ac:dyDescent="0.3">
      <c r="A277" s="3" t="s">
        <v>11</v>
      </c>
      <c r="B277" s="67">
        <f>arrears!B189</f>
        <v>0</v>
      </c>
      <c r="C277" s="67">
        <f>arrears!C189</f>
        <v>0</v>
      </c>
      <c r="D277" s="68">
        <f t="shared" si="64"/>
        <v>0</v>
      </c>
      <c r="E277" s="67">
        <f t="shared" si="61"/>
        <v>0</v>
      </c>
      <c r="F277" s="69">
        <f t="shared" si="62"/>
        <v>0</v>
      </c>
      <c r="G277" s="156">
        <f t="shared" si="65"/>
        <v>0</v>
      </c>
      <c r="H277" s="157">
        <f t="shared" si="66"/>
        <v>0</v>
      </c>
      <c r="I277" s="157">
        <f t="shared" si="63"/>
        <v>0</v>
      </c>
      <c r="L277" s="99" t="s">
        <v>26</v>
      </c>
    </row>
    <row r="278" spans="1:12" ht="13.8" thickBot="1" x14ac:dyDescent="0.3">
      <c r="A278" s="3" t="s">
        <v>12</v>
      </c>
      <c r="B278" s="67">
        <f>arrears!B190</f>
        <v>0</v>
      </c>
      <c r="C278" s="67">
        <f>arrears!C190</f>
        <v>0</v>
      </c>
      <c r="D278" s="68">
        <f t="shared" si="64"/>
        <v>0</v>
      </c>
      <c r="E278" s="67">
        <f t="shared" si="61"/>
        <v>0</v>
      </c>
      <c r="F278" s="69">
        <f t="shared" si="62"/>
        <v>0</v>
      </c>
      <c r="G278" s="156">
        <f t="shared" si="65"/>
        <v>0</v>
      </c>
      <c r="H278" s="157">
        <f t="shared" si="66"/>
        <v>0</v>
      </c>
      <c r="I278" s="157">
        <f t="shared" si="63"/>
        <v>0</v>
      </c>
      <c r="L278" s="99" t="s">
        <v>26</v>
      </c>
    </row>
    <row r="279" spans="1:12" ht="13.8" thickBot="1" x14ac:dyDescent="0.3">
      <c r="A279" s="3" t="s">
        <v>13</v>
      </c>
      <c r="B279" s="67">
        <f>arrears!B191</f>
        <v>0</v>
      </c>
      <c r="C279" s="67">
        <f>arrears!C191</f>
        <v>0</v>
      </c>
      <c r="D279" s="68">
        <f t="shared" si="64"/>
        <v>0</v>
      </c>
      <c r="E279" s="67">
        <f t="shared" si="61"/>
        <v>0</v>
      </c>
      <c r="F279" s="69">
        <f t="shared" si="62"/>
        <v>0</v>
      </c>
      <c r="G279" s="156">
        <f t="shared" si="65"/>
        <v>0</v>
      </c>
      <c r="H279" s="157">
        <f t="shared" si="66"/>
        <v>0</v>
      </c>
      <c r="I279" s="157">
        <f t="shared" si="63"/>
        <v>0</v>
      </c>
      <c r="L279" s="99" t="s">
        <v>26</v>
      </c>
    </row>
    <row r="280" spans="1:12" ht="13.8" thickBot="1" x14ac:dyDescent="0.3">
      <c r="A280" s="3" t="s">
        <v>14</v>
      </c>
      <c r="B280" s="67">
        <f>arrears!B192</f>
        <v>0</v>
      </c>
      <c r="C280" s="67">
        <f>arrears!C192</f>
        <v>0</v>
      </c>
      <c r="D280" s="68">
        <f t="shared" si="64"/>
        <v>0</v>
      </c>
      <c r="E280" s="67">
        <f t="shared" si="61"/>
        <v>0</v>
      </c>
      <c r="F280" s="69">
        <f t="shared" si="62"/>
        <v>0</v>
      </c>
      <c r="G280" s="156">
        <f t="shared" si="65"/>
        <v>0</v>
      </c>
      <c r="H280" s="157">
        <f t="shared" si="66"/>
        <v>0</v>
      </c>
      <c r="I280" s="157">
        <f t="shared" si="63"/>
        <v>0</v>
      </c>
      <c r="L280" s="99" t="s">
        <v>26</v>
      </c>
    </row>
    <row r="281" spans="1:12" ht="13.8" thickBot="1" x14ac:dyDescent="0.3">
      <c r="A281" s="3" t="s">
        <v>15</v>
      </c>
      <c r="B281" s="67">
        <f>arrears!B193</f>
        <v>0</v>
      </c>
      <c r="C281" s="67">
        <f>arrears!C193</f>
        <v>0</v>
      </c>
      <c r="D281" s="68">
        <f t="shared" si="64"/>
        <v>0</v>
      </c>
      <c r="E281" s="67">
        <f t="shared" si="61"/>
        <v>0</v>
      </c>
      <c r="F281" s="69">
        <f t="shared" si="62"/>
        <v>0</v>
      </c>
      <c r="G281" s="156">
        <f t="shared" si="65"/>
        <v>0</v>
      </c>
      <c r="H281" s="157">
        <f t="shared" si="66"/>
        <v>0</v>
      </c>
      <c r="I281" s="157">
        <f t="shared" si="63"/>
        <v>0</v>
      </c>
      <c r="L281" s="99" t="s">
        <v>26</v>
      </c>
    </row>
    <row r="282" spans="1:12" ht="13.8" thickBot="1" x14ac:dyDescent="0.3">
      <c r="A282" s="3" t="s">
        <v>16</v>
      </c>
      <c r="B282" s="67">
        <f>arrears!B194</f>
        <v>0</v>
      </c>
      <c r="C282" s="67">
        <f>arrears!C194</f>
        <v>0</v>
      </c>
      <c r="D282" s="68">
        <f t="shared" si="64"/>
        <v>0</v>
      </c>
      <c r="E282" s="67">
        <f t="shared" si="61"/>
        <v>0</v>
      </c>
      <c r="F282" s="69">
        <f t="shared" si="62"/>
        <v>0</v>
      </c>
      <c r="G282" s="156">
        <f t="shared" si="65"/>
        <v>0</v>
      </c>
      <c r="H282" s="157">
        <f t="shared" si="66"/>
        <v>0</v>
      </c>
      <c r="I282" s="157">
        <f t="shared" si="63"/>
        <v>0</v>
      </c>
      <c r="L282" s="99" t="s">
        <v>26</v>
      </c>
    </row>
    <row r="283" spans="1:12" ht="13.8" thickBot="1" x14ac:dyDescent="0.3">
      <c r="A283" s="3" t="s">
        <v>17</v>
      </c>
      <c r="B283" s="67">
        <f>arrears!B195</f>
        <v>0</v>
      </c>
      <c r="C283" s="67">
        <f>arrears!C195</f>
        <v>0</v>
      </c>
      <c r="D283" s="68">
        <f t="shared" si="64"/>
        <v>0</v>
      </c>
      <c r="E283" s="67">
        <f t="shared" si="61"/>
        <v>0</v>
      </c>
      <c r="F283" s="69">
        <f t="shared" si="62"/>
        <v>0</v>
      </c>
      <c r="G283" s="156">
        <f t="shared" si="65"/>
        <v>0</v>
      </c>
      <c r="H283" s="157">
        <f t="shared" si="66"/>
        <v>0</v>
      </c>
      <c r="I283" s="157">
        <f t="shared" si="63"/>
        <v>0</v>
      </c>
      <c r="L283" s="99" t="s">
        <v>26</v>
      </c>
    </row>
    <row r="284" spans="1:12" ht="13.8" thickBot="1" x14ac:dyDescent="0.3">
      <c r="A284" s="3" t="s">
        <v>18</v>
      </c>
      <c r="B284" s="67">
        <f>arrears!B196</f>
        <v>0</v>
      </c>
      <c r="C284" s="67">
        <f>arrears!C196</f>
        <v>0</v>
      </c>
      <c r="D284" s="68">
        <f t="shared" si="64"/>
        <v>0</v>
      </c>
      <c r="E284" s="67">
        <f t="shared" si="61"/>
        <v>0</v>
      </c>
      <c r="F284" s="69">
        <f t="shared" si="62"/>
        <v>0</v>
      </c>
      <c r="G284" s="156">
        <f t="shared" si="65"/>
        <v>0</v>
      </c>
      <c r="H284" s="157">
        <f t="shared" si="66"/>
        <v>0</v>
      </c>
      <c r="I284" s="157">
        <f t="shared" si="63"/>
        <v>0</v>
      </c>
      <c r="J284" s="35" t="s">
        <v>26</v>
      </c>
      <c r="L284" s="99" t="s">
        <v>26</v>
      </c>
    </row>
    <row r="285" spans="1:12" ht="13.8" thickBot="1" x14ac:dyDescent="0.3">
      <c r="A285" s="7" t="s">
        <v>19</v>
      </c>
      <c r="B285" s="72">
        <f>SUM(B273:B284)</f>
        <v>0</v>
      </c>
      <c r="C285" s="72">
        <f>SUM(C273:C284)</f>
        <v>0</v>
      </c>
      <c r="D285" s="72">
        <f>SUM(D273:D284)</f>
        <v>0</v>
      </c>
      <c r="E285" s="73">
        <f>SUM(E273:E284)</f>
        <v>0</v>
      </c>
      <c r="F285" s="73">
        <f>SUM(F273:F284)</f>
        <v>0</v>
      </c>
      <c r="G285" s="71" t="s">
        <v>26</v>
      </c>
      <c r="H285" s="74">
        <f xml:space="preserve"> SUM(H273:H284)</f>
        <v>0</v>
      </c>
      <c r="I285" s="75"/>
    </row>
    <row r="286" spans="1:12" x14ac:dyDescent="0.25">
      <c r="A286" s="207">
        <f>arrears!A198</f>
        <v>0</v>
      </c>
    </row>
    <row r="287" spans="1:12" x14ac:dyDescent="0.25">
      <c r="A287" s="207">
        <f>arrears!A199</f>
        <v>0</v>
      </c>
    </row>
    <row r="288" spans="1:12" x14ac:dyDescent="0.25">
      <c r="A288" s="207">
        <f>arrears!A200</f>
        <v>0</v>
      </c>
    </row>
    <row r="289" spans="1:12" ht="13.8" thickBot="1" x14ac:dyDescent="0.3">
      <c r="A289" s="207">
        <f>arrears!A201</f>
        <v>0</v>
      </c>
    </row>
    <row r="290" spans="1:12" ht="13.8" thickBot="1" x14ac:dyDescent="0.3">
      <c r="A290" s="4" t="s">
        <v>2</v>
      </c>
      <c r="B290" s="66" t="str">
        <f>arrears!G183</f>
        <v xml:space="preserve"> </v>
      </c>
      <c r="C290" s="12" t="s">
        <v>35</v>
      </c>
      <c r="D290" s="12" t="s">
        <v>5</v>
      </c>
      <c r="E290" s="12" t="s">
        <v>5</v>
      </c>
      <c r="F290" s="12" t="s">
        <v>46</v>
      </c>
      <c r="G290" s="12" t="s">
        <v>29</v>
      </c>
      <c r="H290" s="14" t="s">
        <v>27</v>
      </c>
      <c r="I290" s="14" t="s">
        <v>29</v>
      </c>
      <c r="L290" s="215" t="s">
        <v>31</v>
      </c>
    </row>
    <row r="291" spans="1:12" ht="13.8" thickBot="1" x14ac:dyDescent="0.3">
      <c r="A291" s="4" t="s">
        <v>3</v>
      </c>
      <c r="B291" s="4" t="s">
        <v>4</v>
      </c>
      <c r="C291" s="13" t="s">
        <v>34</v>
      </c>
      <c r="D291" s="13" t="s">
        <v>30</v>
      </c>
      <c r="E291" s="13" t="s">
        <v>27</v>
      </c>
      <c r="F291" s="13" t="s">
        <v>47</v>
      </c>
      <c r="G291" s="13" t="s">
        <v>33</v>
      </c>
      <c r="H291" s="15" t="s">
        <v>34</v>
      </c>
      <c r="I291" s="15" t="s">
        <v>31</v>
      </c>
      <c r="L291" s="216" t="s">
        <v>124</v>
      </c>
    </row>
    <row r="292" spans="1:12" ht="13.8" thickBot="1" x14ac:dyDescent="0.3">
      <c r="A292" s="3" t="s">
        <v>7</v>
      </c>
      <c r="B292" s="67">
        <f>arrears!G185</f>
        <v>0</v>
      </c>
      <c r="C292" s="67">
        <f>arrears!H185</f>
        <v>0</v>
      </c>
      <c r="D292" s="68">
        <f>IF(C292&lt;=(G284+B292),C292,IF(C292&lt;=SUM(G284+B292+I284),B292+G284,IF(C292&gt;=SUM(G284+B292+I284),(C292-I284),0)))</f>
        <v>0</v>
      </c>
      <c r="E292" s="67">
        <f t="shared" ref="E292:E303" si="67">IF(C292=D292,0,IF(C292&lt;&gt;D292,(C292-D292)))</f>
        <v>0</v>
      </c>
      <c r="F292" s="69">
        <f t="shared" ref="F292:F303" si="68">B292-D292</f>
        <v>0</v>
      </c>
      <c r="G292" s="156">
        <f>IF(J284="b",0,IF(J292="b",(G284+F292),IF(J292="s",(($M$6)+F292),IF(J292="j",$M$6,IF(J284="e",0,IF(J292="z",0,(G284+F292)))))))</f>
        <v>0</v>
      </c>
      <c r="H292" s="157">
        <f>IF(G292&lt;=0,0,IF(J292="s",0,IF(J292="n",0,IF(J292="e",(G292*$L$292),IF(J292="b",0,IF(J292="j",0,SUM(G292*$L$292)))))))</f>
        <v>0</v>
      </c>
      <c r="I292" s="157">
        <f>IF(J284="b",0,IF(J292="s",(Surcharge-E292+H292),IF(J292="j",0,IF(J284="e",0,(I284-E292+H292)))))</f>
        <v>0</v>
      </c>
      <c r="J292" s="35" t="s">
        <v>26</v>
      </c>
      <c r="L292" s="99">
        <f>IF(B290&lt;2012,0.01,0.005)</f>
        <v>5.0000000000000001E-3</v>
      </c>
    </row>
    <row r="293" spans="1:12" ht="13.8" thickBot="1" x14ac:dyDescent="0.3">
      <c r="A293" s="3" t="s">
        <v>8</v>
      </c>
      <c r="B293" s="67">
        <f>arrears!G186</f>
        <v>0</v>
      </c>
      <c r="C293" s="67">
        <f>arrears!H186</f>
        <v>0</v>
      </c>
      <c r="D293" s="68">
        <f>IF(C293&lt;=(G292+B293),C293,IF(C293&lt;=(G292+B293+I292),B293+G292,IF(C293&gt;SUM(G292+B293+I292),(C293-I292),0)))</f>
        <v>0</v>
      </c>
      <c r="E293" s="67">
        <f t="shared" si="67"/>
        <v>0</v>
      </c>
      <c r="F293" s="69">
        <f t="shared" si="68"/>
        <v>0</v>
      </c>
      <c r="G293" s="156">
        <f>IF(J292="b",0,IF(J293="b",(G292+F293),IF(J293="s",(($M$6)+F293),IF(J293="j",$M$6,IF(J292="e",0,IF(J293="z",0,(G292+F293)))))))</f>
        <v>0</v>
      </c>
      <c r="H293" s="157">
        <f>IF(G293&lt;=0,0,IF(J293="s",0,IF(J293="n",0,IF(J293="e",(G293*$L$292),IF(J293="b",0,IF(J293="j",0,SUM(G293*$L$292)))))))</f>
        <v>0</v>
      </c>
      <c r="I293" s="157">
        <f t="shared" ref="I293:I303" si="69">IF(J292="b",0,IF(J293="s",(Surcharge-E293+H293),IF(J293="j",0,IF(J292="e",0,(I292-E293+H293)))))</f>
        <v>0</v>
      </c>
      <c r="L293" s="99" t="s">
        <v>125</v>
      </c>
    </row>
    <row r="294" spans="1:12" ht="13.8" thickBot="1" x14ac:dyDescent="0.3">
      <c r="A294" s="3" t="s">
        <v>9</v>
      </c>
      <c r="B294" s="67">
        <f>arrears!G187</f>
        <v>0</v>
      </c>
      <c r="C294" s="67">
        <f>arrears!H187</f>
        <v>0</v>
      </c>
      <c r="D294" s="68">
        <f t="shared" ref="D294:D303" si="70">IF(C294&lt;=(G293+B294),C294,IF(C294&lt;=(G293+B294+I293),B294+G293,IF(C294&gt;SUM(G293+B294+I293),(C294-I293),0)))</f>
        <v>0</v>
      </c>
      <c r="E294" s="67">
        <f t="shared" si="67"/>
        <v>0</v>
      </c>
      <c r="F294" s="69">
        <f t="shared" si="68"/>
        <v>0</v>
      </c>
      <c r="G294" s="156">
        <f t="shared" ref="G294:G303" si="71">IF(J293="b",0,IF(J294="b",(G293+F294),IF(J294="s",(($M$6)+F294),IF(J294="j",$M$6,IF(J293="e",0,IF(J294="z",0,(G293+F294)))))))</f>
        <v>0</v>
      </c>
      <c r="H294" s="157">
        <f t="shared" ref="H294:H303" si="72">IF(G294&lt;=0,0,IF(J294="s",0,IF(J294="n",0,IF(J294="e",(G294*$L$292),IF(J294="b",0,IF(J294="j",0,SUM(G294*$L$292)))))))</f>
        <v>0</v>
      </c>
      <c r="I294" s="157">
        <f t="shared" si="69"/>
        <v>0</v>
      </c>
      <c r="L294" s="99" t="s">
        <v>26</v>
      </c>
    </row>
    <row r="295" spans="1:12" ht="13.8" thickBot="1" x14ac:dyDescent="0.3">
      <c r="A295" s="3" t="s">
        <v>10</v>
      </c>
      <c r="B295" s="67">
        <f>arrears!G188</f>
        <v>0</v>
      </c>
      <c r="C295" s="67">
        <f>arrears!H188</f>
        <v>0</v>
      </c>
      <c r="D295" s="68">
        <f t="shared" si="70"/>
        <v>0</v>
      </c>
      <c r="E295" s="67">
        <f t="shared" si="67"/>
        <v>0</v>
      </c>
      <c r="F295" s="69">
        <f t="shared" si="68"/>
        <v>0</v>
      </c>
      <c r="G295" s="156">
        <f t="shared" si="71"/>
        <v>0</v>
      </c>
      <c r="H295" s="157">
        <f t="shared" si="72"/>
        <v>0</v>
      </c>
      <c r="I295" s="157">
        <f t="shared" si="69"/>
        <v>0</v>
      </c>
      <c r="L295" s="99" t="s">
        <v>26</v>
      </c>
    </row>
    <row r="296" spans="1:12" ht="13.8" thickBot="1" x14ac:dyDescent="0.3">
      <c r="A296" s="3" t="s">
        <v>11</v>
      </c>
      <c r="B296" s="67">
        <f>arrears!G189</f>
        <v>0</v>
      </c>
      <c r="C296" s="67">
        <f>arrears!H189</f>
        <v>0</v>
      </c>
      <c r="D296" s="68">
        <f t="shared" si="70"/>
        <v>0</v>
      </c>
      <c r="E296" s="67">
        <f t="shared" si="67"/>
        <v>0</v>
      </c>
      <c r="F296" s="69">
        <f t="shared" si="68"/>
        <v>0</v>
      </c>
      <c r="G296" s="156">
        <f t="shared" si="71"/>
        <v>0</v>
      </c>
      <c r="H296" s="157">
        <f t="shared" si="72"/>
        <v>0</v>
      </c>
      <c r="I296" s="157">
        <f t="shared" si="69"/>
        <v>0</v>
      </c>
      <c r="L296" s="99" t="s">
        <v>26</v>
      </c>
    </row>
    <row r="297" spans="1:12" ht="13.8" thickBot="1" x14ac:dyDescent="0.3">
      <c r="A297" s="3" t="s">
        <v>12</v>
      </c>
      <c r="B297" s="67">
        <f>arrears!G190</f>
        <v>0</v>
      </c>
      <c r="C297" s="67">
        <f>arrears!H190</f>
        <v>0</v>
      </c>
      <c r="D297" s="68">
        <f t="shared" si="70"/>
        <v>0</v>
      </c>
      <c r="E297" s="67">
        <f t="shared" si="67"/>
        <v>0</v>
      </c>
      <c r="F297" s="69">
        <f t="shared" si="68"/>
        <v>0</v>
      </c>
      <c r="G297" s="156">
        <f t="shared" si="71"/>
        <v>0</v>
      </c>
      <c r="H297" s="157">
        <f t="shared" si="72"/>
        <v>0</v>
      </c>
      <c r="I297" s="157">
        <f t="shared" si="69"/>
        <v>0</v>
      </c>
      <c r="L297" s="99" t="s">
        <v>26</v>
      </c>
    </row>
    <row r="298" spans="1:12" ht="13.8" thickBot="1" x14ac:dyDescent="0.3">
      <c r="A298" s="3" t="s">
        <v>13</v>
      </c>
      <c r="B298" s="67">
        <f>arrears!G191</f>
        <v>0</v>
      </c>
      <c r="C298" s="67">
        <f>arrears!H191</f>
        <v>0</v>
      </c>
      <c r="D298" s="68">
        <f t="shared" si="70"/>
        <v>0</v>
      </c>
      <c r="E298" s="67">
        <f t="shared" si="67"/>
        <v>0</v>
      </c>
      <c r="F298" s="69">
        <f t="shared" si="68"/>
        <v>0</v>
      </c>
      <c r="G298" s="156">
        <f t="shared" si="71"/>
        <v>0</v>
      </c>
      <c r="H298" s="157">
        <f t="shared" si="72"/>
        <v>0</v>
      </c>
      <c r="I298" s="157">
        <f t="shared" si="69"/>
        <v>0</v>
      </c>
      <c r="L298" s="99" t="s">
        <v>26</v>
      </c>
    </row>
    <row r="299" spans="1:12" ht="13.8" thickBot="1" x14ac:dyDescent="0.3">
      <c r="A299" s="3" t="s">
        <v>14</v>
      </c>
      <c r="B299" s="67">
        <f>arrears!G192</f>
        <v>0</v>
      </c>
      <c r="C299" s="67">
        <f>arrears!H192</f>
        <v>0</v>
      </c>
      <c r="D299" s="68">
        <f t="shared" si="70"/>
        <v>0</v>
      </c>
      <c r="E299" s="67">
        <f t="shared" si="67"/>
        <v>0</v>
      </c>
      <c r="F299" s="69">
        <f t="shared" si="68"/>
        <v>0</v>
      </c>
      <c r="G299" s="156">
        <f t="shared" si="71"/>
        <v>0</v>
      </c>
      <c r="H299" s="157">
        <f t="shared" si="72"/>
        <v>0</v>
      </c>
      <c r="I299" s="157">
        <f t="shared" si="69"/>
        <v>0</v>
      </c>
      <c r="L299" s="99" t="s">
        <v>26</v>
      </c>
    </row>
    <row r="300" spans="1:12" ht="13.8" thickBot="1" x14ac:dyDescent="0.3">
      <c r="A300" s="3" t="s">
        <v>15</v>
      </c>
      <c r="B300" s="67">
        <f>arrears!G193</f>
        <v>0</v>
      </c>
      <c r="C300" s="67">
        <f>arrears!H193</f>
        <v>0</v>
      </c>
      <c r="D300" s="68">
        <f t="shared" si="70"/>
        <v>0</v>
      </c>
      <c r="E300" s="67">
        <f t="shared" si="67"/>
        <v>0</v>
      </c>
      <c r="F300" s="69">
        <f t="shared" si="68"/>
        <v>0</v>
      </c>
      <c r="G300" s="156">
        <f t="shared" si="71"/>
        <v>0</v>
      </c>
      <c r="H300" s="157">
        <f t="shared" si="72"/>
        <v>0</v>
      </c>
      <c r="I300" s="157">
        <f t="shared" si="69"/>
        <v>0</v>
      </c>
      <c r="L300" s="99" t="s">
        <v>26</v>
      </c>
    </row>
    <row r="301" spans="1:12" ht="13.8" thickBot="1" x14ac:dyDescent="0.3">
      <c r="A301" s="3" t="s">
        <v>16</v>
      </c>
      <c r="B301" s="67">
        <f>arrears!G194</f>
        <v>0</v>
      </c>
      <c r="C301" s="67">
        <f>arrears!H194</f>
        <v>0</v>
      </c>
      <c r="D301" s="68">
        <f t="shared" si="70"/>
        <v>0</v>
      </c>
      <c r="E301" s="67">
        <f t="shared" si="67"/>
        <v>0</v>
      </c>
      <c r="F301" s="69">
        <f t="shared" si="68"/>
        <v>0</v>
      </c>
      <c r="G301" s="156">
        <f t="shared" si="71"/>
        <v>0</v>
      </c>
      <c r="H301" s="157">
        <f t="shared" si="72"/>
        <v>0</v>
      </c>
      <c r="I301" s="157">
        <f t="shared" si="69"/>
        <v>0</v>
      </c>
      <c r="L301" s="99" t="s">
        <v>26</v>
      </c>
    </row>
    <row r="302" spans="1:12" ht="13.8" thickBot="1" x14ac:dyDescent="0.3">
      <c r="A302" s="3" t="s">
        <v>17</v>
      </c>
      <c r="B302" s="67">
        <f>arrears!G195</f>
        <v>0</v>
      </c>
      <c r="C302" s="67">
        <f>arrears!H195</f>
        <v>0</v>
      </c>
      <c r="D302" s="68">
        <f t="shared" si="70"/>
        <v>0</v>
      </c>
      <c r="E302" s="67">
        <f t="shared" si="67"/>
        <v>0</v>
      </c>
      <c r="F302" s="69">
        <f t="shared" si="68"/>
        <v>0</v>
      </c>
      <c r="G302" s="156">
        <f t="shared" si="71"/>
        <v>0</v>
      </c>
      <c r="H302" s="157">
        <f t="shared" si="72"/>
        <v>0</v>
      </c>
      <c r="I302" s="157">
        <f t="shared" si="69"/>
        <v>0</v>
      </c>
      <c r="L302" s="99" t="s">
        <v>26</v>
      </c>
    </row>
    <row r="303" spans="1:12" ht="13.8" thickBot="1" x14ac:dyDescent="0.3">
      <c r="A303" s="3" t="s">
        <v>18</v>
      </c>
      <c r="B303" s="67">
        <f>arrears!G196</f>
        <v>0</v>
      </c>
      <c r="C303" s="67">
        <f>arrears!H196</f>
        <v>0</v>
      </c>
      <c r="D303" s="68">
        <f t="shared" si="70"/>
        <v>0</v>
      </c>
      <c r="E303" s="67">
        <f t="shared" si="67"/>
        <v>0</v>
      </c>
      <c r="F303" s="69">
        <f t="shared" si="68"/>
        <v>0</v>
      </c>
      <c r="G303" s="156">
        <f t="shared" si="71"/>
        <v>0</v>
      </c>
      <c r="H303" s="157">
        <f t="shared" si="72"/>
        <v>0</v>
      </c>
      <c r="I303" s="157">
        <f t="shared" si="69"/>
        <v>0</v>
      </c>
      <c r="J303" s="35" t="s">
        <v>26</v>
      </c>
      <c r="L303" s="99" t="s">
        <v>26</v>
      </c>
    </row>
    <row r="304" spans="1:12" ht="13.8" thickBot="1" x14ac:dyDescent="0.3">
      <c r="A304" s="7" t="s">
        <v>19</v>
      </c>
      <c r="B304" s="72">
        <f>SUM(B292:B303)</f>
        <v>0</v>
      </c>
      <c r="C304" s="72">
        <f>SUM(C292:C303)</f>
        <v>0</v>
      </c>
      <c r="D304" s="72">
        <f>SUM(D292:D303)</f>
        <v>0</v>
      </c>
      <c r="E304" s="73">
        <f>SUM(E292:E303)</f>
        <v>0</v>
      </c>
      <c r="F304" s="73">
        <f>SUM(F292:F303)</f>
        <v>0</v>
      </c>
      <c r="G304" s="71" t="s">
        <v>26</v>
      </c>
      <c r="H304" s="71">
        <f xml:space="preserve"> SUM(H292:H303)</f>
        <v>0</v>
      </c>
      <c r="I304" s="75"/>
    </row>
    <row r="305" spans="1:12" x14ac:dyDescent="0.25">
      <c r="A305" s="181">
        <f>arrears!F198</f>
        <v>0</v>
      </c>
    </row>
    <row r="306" spans="1:12" x14ac:dyDescent="0.25">
      <c r="A306" s="181">
        <f>arrears!F199</f>
        <v>0</v>
      </c>
    </row>
    <row r="307" spans="1:12" x14ac:dyDescent="0.25">
      <c r="A307" s="181">
        <f>arrears!F200</f>
        <v>0</v>
      </c>
    </row>
    <row r="308" spans="1:12" x14ac:dyDescent="0.25">
      <c r="A308" s="181">
        <f>arrears!F201</f>
        <v>0</v>
      </c>
    </row>
    <row r="309" spans="1:12" x14ac:dyDescent="0.25">
      <c r="A309" s="17"/>
      <c r="B309" s="17"/>
      <c r="C309" s="17"/>
      <c r="D309" s="17"/>
      <c r="E309" s="17"/>
      <c r="F309" s="17"/>
      <c r="G309" s="17"/>
      <c r="H309" s="17"/>
      <c r="I309" s="17"/>
    </row>
    <row r="310" spans="1:12" x14ac:dyDescent="0.25">
      <c r="A310" s="18"/>
      <c r="B310" s="21" t="s">
        <v>0</v>
      </c>
      <c r="C310" s="96" t="str">
        <f>$C$3</f>
        <v xml:space="preserve"> </v>
      </c>
      <c r="D310" s="19"/>
      <c r="E310" s="19"/>
      <c r="F310" s="6" t="s">
        <v>53</v>
      </c>
      <c r="G310" s="96" t="str">
        <f>$G$3</f>
        <v xml:space="preserve"> </v>
      </c>
      <c r="H310" s="17"/>
      <c r="I310" s="17"/>
    </row>
    <row r="311" spans="1:12" x14ac:dyDescent="0.25">
      <c r="A311" s="18"/>
      <c r="B311" s="21" t="s">
        <v>1</v>
      </c>
      <c r="C311" s="96" t="str">
        <f>$C$4</f>
        <v xml:space="preserve"> </v>
      </c>
      <c r="D311" s="19"/>
      <c r="E311" s="19"/>
      <c r="F311" s="21" t="s">
        <v>26</v>
      </c>
      <c r="G311" s="19" t="s">
        <v>26</v>
      </c>
      <c r="H311" s="17"/>
      <c r="I311" s="17"/>
    </row>
    <row r="312" spans="1:12" ht="13.8" thickBot="1" x14ac:dyDescent="0.3">
      <c r="A312" s="18"/>
      <c r="B312" s="21"/>
      <c r="C312" s="19"/>
      <c r="D312" s="19"/>
      <c r="E312" s="19"/>
      <c r="F312" s="21"/>
      <c r="G312" s="19"/>
      <c r="H312" s="17"/>
      <c r="I312" s="17"/>
    </row>
    <row r="313" spans="1:12" ht="13.8" thickBot="1" x14ac:dyDescent="0.3">
      <c r="A313" s="4" t="s">
        <v>2</v>
      </c>
      <c r="B313" s="66" t="str">
        <f>arrears!$B$213</f>
        <v xml:space="preserve"> </v>
      </c>
      <c r="C313" s="12" t="s">
        <v>35</v>
      </c>
      <c r="D313" s="12" t="s">
        <v>5</v>
      </c>
      <c r="E313" s="12" t="s">
        <v>5</v>
      </c>
      <c r="F313" s="12" t="s">
        <v>46</v>
      </c>
      <c r="G313" s="12" t="s">
        <v>29</v>
      </c>
      <c r="H313" s="14" t="s">
        <v>27</v>
      </c>
      <c r="I313" s="14" t="s">
        <v>29</v>
      </c>
      <c r="L313" s="215" t="s">
        <v>31</v>
      </c>
    </row>
    <row r="314" spans="1:12" ht="13.8" thickBot="1" x14ac:dyDescent="0.3">
      <c r="A314" s="4" t="s">
        <v>3</v>
      </c>
      <c r="B314" s="4" t="s">
        <v>4</v>
      </c>
      <c r="C314" s="13" t="s">
        <v>34</v>
      </c>
      <c r="D314" s="13" t="s">
        <v>30</v>
      </c>
      <c r="E314" s="13" t="s">
        <v>27</v>
      </c>
      <c r="F314" s="13" t="s">
        <v>47</v>
      </c>
      <c r="G314" s="13" t="s">
        <v>33</v>
      </c>
      <c r="H314" s="15" t="s">
        <v>34</v>
      </c>
      <c r="I314" s="15" t="s">
        <v>31</v>
      </c>
      <c r="L314" s="216" t="s">
        <v>124</v>
      </c>
    </row>
    <row r="315" spans="1:12" ht="13.8" thickBot="1" x14ac:dyDescent="0.3">
      <c r="A315" s="3" t="s">
        <v>7</v>
      </c>
      <c r="B315" s="67">
        <f>arrears!B215</f>
        <v>0</v>
      </c>
      <c r="C315" s="67">
        <f>arrears!C215</f>
        <v>0</v>
      </c>
      <c r="D315" s="68">
        <f>IF(C315&lt;=(G303+B315),C315,IF(C315&lt;=SUM(G303+B315+I303),B315+G303,IF(C315&gt;=SUM(G303+B315+I303),(C315-I303),0)))</f>
        <v>0</v>
      </c>
      <c r="E315" s="67">
        <f t="shared" ref="E315:E326" si="73">IF(C315=D315,0,IF(C315&lt;&gt;D315,(C315-D315)))</f>
        <v>0</v>
      </c>
      <c r="F315" s="69">
        <f t="shared" ref="F315:F326" si="74">B315-D315</f>
        <v>0</v>
      </c>
      <c r="G315" s="70">
        <f>IF(J303="b",0,IF(J315="b",(G303+F315),IF(J315="s",(($M$6)+F315),IF(J315="j",$M$6,IF(J303="e",0,IF(J315="z",0,(G303+F315)))))))</f>
        <v>0</v>
      </c>
      <c r="H315" s="157">
        <f>IF(G315&lt;=0,0,IF(J315="s",0,IF(J315="n",0,IF(J315="e",(G315*$L$315),IF(J315="b",0,IF(J315="j",0,SUM(G315*$L$315)))))))</f>
        <v>0</v>
      </c>
      <c r="I315" s="71">
        <f>IF(J303="b",0,IF(J315="s",(Surcharge-E315+H315),IF(J315="j",0,IF(J303="e",0,(I303-E315+H315)))))</f>
        <v>0</v>
      </c>
      <c r="J315" s="35" t="s">
        <v>26</v>
      </c>
      <c r="L315" s="99">
        <f>IF(B313&lt;2012,0.01,0.005)</f>
        <v>5.0000000000000001E-3</v>
      </c>
    </row>
    <row r="316" spans="1:12" ht="13.8" thickBot="1" x14ac:dyDescent="0.3">
      <c r="A316" s="3" t="s">
        <v>8</v>
      </c>
      <c r="B316" s="67">
        <f>arrears!B216</f>
        <v>0</v>
      </c>
      <c r="C316" s="67">
        <f>arrears!C216</f>
        <v>0</v>
      </c>
      <c r="D316" s="68">
        <f>IF(C316&lt;=(G315+B316),C316,IF(C316&lt;=(G315+B316+I315),B316+G315,IF(C316&gt;SUM(G315+B316+I315),(C316-I315),0)))</f>
        <v>0</v>
      </c>
      <c r="E316" s="67">
        <f t="shared" si="73"/>
        <v>0</v>
      </c>
      <c r="F316" s="69">
        <f t="shared" si="74"/>
        <v>0</v>
      </c>
      <c r="G316" s="156">
        <f>IF(J315="b",0,IF(J316="b",(G315+F316),IF(J316="s",(($M$6)+F316),IF(J316="j",$M$6,IF(J315="e",0,IF(J316="z",0,(G315+F316)))))))</f>
        <v>0</v>
      </c>
      <c r="H316" s="157">
        <f>IF(G316&lt;=0,0,IF(J316="s",0,IF(J316="n",0,IF(J316="e",(G316*$L$315),IF(J316="b",0,IF(J316="j",0,SUM(G316*$L$315)))))))</f>
        <v>0</v>
      </c>
      <c r="I316" s="157">
        <f t="shared" ref="I316:I326" si="75">IF(J315="b",0,IF(J316="s",(Surcharge-E316+H316),IF(J316="j",0,IF(J315="e",0,(I315-E316+H316)))))</f>
        <v>0</v>
      </c>
      <c r="L316" s="99" t="s">
        <v>26</v>
      </c>
    </row>
    <row r="317" spans="1:12" ht="13.8" thickBot="1" x14ac:dyDescent="0.3">
      <c r="A317" s="3" t="s">
        <v>9</v>
      </c>
      <c r="B317" s="67">
        <f>arrears!B217</f>
        <v>0</v>
      </c>
      <c r="C317" s="67">
        <f>arrears!C217</f>
        <v>0</v>
      </c>
      <c r="D317" s="68">
        <f t="shared" ref="D317:D326" si="76">IF(C317&lt;=(G316+B317),C317,IF(C317&lt;=(G316+B317+I316),B317+G316,IF(C317&gt;SUM(G316+B317+I316),(C317-I316),0)))</f>
        <v>0</v>
      </c>
      <c r="E317" s="67">
        <f t="shared" si="73"/>
        <v>0</v>
      </c>
      <c r="F317" s="69">
        <f t="shared" si="74"/>
        <v>0</v>
      </c>
      <c r="G317" s="156">
        <f t="shared" ref="G317:G326" si="77">IF(J316="b",0,IF(J317="b",(G316+F317),IF(J317="s",(($M$6)+F317),IF(J317="j",$M$6,IF(J316="e",0,IF(J317="z",0,(G316+F317)))))))</f>
        <v>0</v>
      </c>
      <c r="H317" s="157">
        <f t="shared" ref="H317:H326" si="78">IF(G317&lt;=0,0,IF(J317="s",0,IF(J317="n",0,IF(J317="e",(G317*$L$315),IF(J317="b",0,IF(J317="j",0,SUM(G317*$L$315)))))))</f>
        <v>0</v>
      </c>
      <c r="I317" s="157">
        <f t="shared" si="75"/>
        <v>0</v>
      </c>
      <c r="L317" s="99" t="s">
        <v>26</v>
      </c>
    </row>
    <row r="318" spans="1:12" ht="13.8" thickBot="1" x14ac:dyDescent="0.3">
      <c r="A318" s="3" t="s">
        <v>10</v>
      </c>
      <c r="B318" s="67">
        <f>arrears!B218</f>
        <v>0</v>
      </c>
      <c r="C318" s="67">
        <f>arrears!C218</f>
        <v>0</v>
      </c>
      <c r="D318" s="68">
        <f t="shared" si="76"/>
        <v>0</v>
      </c>
      <c r="E318" s="67">
        <f t="shared" si="73"/>
        <v>0</v>
      </c>
      <c r="F318" s="69">
        <f t="shared" si="74"/>
        <v>0</v>
      </c>
      <c r="G318" s="156">
        <f t="shared" si="77"/>
        <v>0</v>
      </c>
      <c r="H318" s="157">
        <f t="shared" si="78"/>
        <v>0</v>
      </c>
      <c r="I318" s="157">
        <f t="shared" si="75"/>
        <v>0</v>
      </c>
      <c r="L318" s="99" t="s">
        <v>26</v>
      </c>
    </row>
    <row r="319" spans="1:12" ht="13.8" thickBot="1" x14ac:dyDescent="0.3">
      <c r="A319" s="3" t="s">
        <v>11</v>
      </c>
      <c r="B319" s="67">
        <f>arrears!B219</f>
        <v>0</v>
      </c>
      <c r="C319" s="67">
        <f>arrears!C219</f>
        <v>0</v>
      </c>
      <c r="D319" s="68">
        <f t="shared" si="76"/>
        <v>0</v>
      </c>
      <c r="E319" s="67">
        <f t="shared" si="73"/>
        <v>0</v>
      </c>
      <c r="F319" s="69">
        <f t="shared" si="74"/>
        <v>0</v>
      </c>
      <c r="G319" s="156">
        <f t="shared" si="77"/>
        <v>0</v>
      </c>
      <c r="H319" s="157">
        <f t="shared" si="78"/>
        <v>0</v>
      </c>
      <c r="I319" s="157">
        <f t="shared" si="75"/>
        <v>0</v>
      </c>
      <c r="L319" s="99" t="s">
        <v>26</v>
      </c>
    </row>
    <row r="320" spans="1:12" ht="13.8" thickBot="1" x14ac:dyDescent="0.3">
      <c r="A320" s="3" t="s">
        <v>12</v>
      </c>
      <c r="B320" s="67">
        <f>arrears!B220</f>
        <v>0</v>
      </c>
      <c r="C320" s="67">
        <f>arrears!C220</f>
        <v>0</v>
      </c>
      <c r="D320" s="68">
        <f t="shared" si="76"/>
        <v>0</v>
      </c>
      <c r="E320" s="67">
        <f t="shared" si="73"/>
        <v>0</v>
      </c>
      <c r="F320" s="69">
        <f t="shared" si="74"/>
        <v>0</v>
      </c>
      <c r="G320" s="156">
        <f t="shared" si="77"/>
        <v>0</v>
      </c>
      <c r="H320" s="157">
        <f t="shared" si="78"/>
        <v>0</v>
      </c>
      <c r="I320" s="157">
        <f t="shared" si="75"/>
        <v>0</v>
      </c>
      <c r="L320" s="99" t="s">
        <v>26</v>
      </c>
    </row>
    <row r="321" spans="1:12" ht="13.8" thickBot="1" x14ac:dyDescent="0.3">
      <c r="A321" s="3" t="s">
        <v>13</v>
      </c>
      <c r="B321" s="67">
        <f>arrears!B221</f>
        <v>0</v>
      </c>
      <c r="C321" s="67">
        <f>arrears!C221</f>
        <v>0</v>
      </c>
      <c r="D321" s="68">
        <f t="shared" si="76"/>
        <v>0</v>
      </c>
      <c r="E321" s="67">
        <f t="shared" si="73"/>
        <v>0</v>
      </c>
      <c r="F321" s="69">
        <f t="shared" si="74"/>
        <v>0</v>
      </c>
      <c r="G321" s="156">
        <f t="shared" si="77"/>
        <v>0</v>
      </c>
      <c r="H321" s="157">
        <f t="shared" si="78"/>
        <v>0</v>
      </c>
      <c r="I321" s="157">
        <f t="shared" si="75"/>
        <v>0</v>
      </c>
      <c r="L321" s="99" t="s">
        <v>26</v>
      </c>
    </row>
    <row r="322" spans="1:12" ht="13.8" thickBot="1" x14ac:dyDescent="0.3">
      <c r="A322" s="3" t="s">
        <v>14</v>
      </c>
      <c r="B322" s="67">
        <f>arrears!B222</f>
        <v>0</v>
      </c>
      <c r="C322" s="67">
        <f>arrears!C222</f>
        <v>0</v>
      </c>
      <c r="D322" s="68">
        <f t="shared" si="76"/>
        <v>0</v>
      </c>
      <c r="E322" s="67">
        <f t="shared" si="73"/>
        <v>0</v>
      </c>
      <c r="F322" s="69">
        <f t="shared" si="74"/>
        <v>0</v>
      </c>
      <c r="G322" s="156">
        <f t="shared" si="77"/>
        <v>0</v>
      </c>
      <c r="H322" s="157">
        <f t="shared" si="78"/>
        <v>0</v>
      </c>
      <c r="I322" s="157">
        <f t="shared" si="75"/>
        <v>0</v>
      </c>
      <c r="L322" s="99" t="s">
        <v>26</v>
      </c>
    </row>
    <row r="323" spans="1:12" ht="13.8" thickBot="1" x14ac:dyDescent="0.3">
      <c r="A323" s="3" t="s">
        <v>15</v>
      </c>
      <c r="B323" s="67">
        <f>arrears!B223</f>
        <v>0</v>
      </c>
      <c r="C323" s="67">
        <f>arrears!C223</f>
        <v>0</v>
      </c>
      <c r="D323" s="68">
        <f t="shared" si="76"/>
        <v>0</v>
      </c>
      <c r="E323" s="67">
        <f t="shared" si="73"/>
        <v>0</v>
      </c>
      <c r="F323" s="69">
        <f t="shared" si="74"/>
        <v>0</v>
      </c>
      <c r="G323" s="156">
        <f t="shared" si="77"/>
        <v>0</v>
      </c>
      <c r="H323" s="157">
        <f t="shared" si="78"/>
        <v>0</v>
      </c>
      <c r="I323" s="157">
        <f t="shared" si="75"/>
        <v>0</v>
      </c>
      <c r="L323" s="99" t="s">
        <v>26</v>
      </c>
    </row>
    <row r="324" spans="1:12" ht="13.8" thickBot="1" x14ac:dyDescent="0.3">
      <c r="A324" s="3" t="s">
        <v>16</v>
      </c>
      <c r="B324" s="67">
        <f>arrears!B224</f>
        <v>0</v>
      </c>
      <c r="C324" s="67">
        <f>arrears!C224</f>
        <v>0</v>
      </c>
      <c r="D324" s="68">
        <f t="shared" si="76"/>
        <v>0</v>
      </c>
      <c r="E324" s="67">
        <f t="shared" si="73"/>
        <v>0</v>
      </c>
      <c r="F324" s="69">
        <f t="shared" si="74"/>
        <v>0</v>
      </c>
      <c r="G324" s="156">
        <f t="shared" si="77"/>
        <v>0</v>
      </c>
      <c r="H324" s="157">
        <f t="shared" si="78"/>
        <v>0</v>
      </c>
      <c r="I324" s="157">
        <f t="shared" si="75"/>
        <v>0</v>
      </c>
      <c r="L324" s="99" t="s">
        <v>26</v>
      </c>
    </row>
    <row r="325" spans="1:12" ht="13.8" thickBot="1" x14ac:dyDescent="0.3">
      <c r="A325" s="3" t="s">
        <v>17</v>
      </c>
      <c r="B325" s="67">
        <f>arrears!B225</f>
        <v>0</v>
      </c>
      <c r="C325" s="67">
        <f>arrears!C225</f>
        <v>0</v>
      </c>
      <c r="D325" s="68">
        <f t="shared" si="76"/>
        <v>0</v>
      </c>
      <c r="E325" s="67">
        <f t="shared" si="73"/>
        <v>0</v>
      </c>
      <c r="F325" s="69">
        <f t="shared" si="74"/>
        <v>0</v>
      </c>
      <c r="G325" s="156">
        <f t="shared" si="77"/>
        <v>0</v>
      </c>
      <c r="H325" s="157">
        <f t="shared" si="78"/>
        <v>0</v>
      </c>
      <c r="I325" s="157">
        <f t="shared" si="75"/>
        <v>0</v>
      </c>
      <c r="L325" s="99" t="s">
        <v>26</v>
      </c>
    </row>
    <row r="326" spans="1:12" ht="13.8" thickBot="1" x14ac:dyDescent="0.3">
      <c r="A326" s="3" t="s">
        <v>18</v>
      </c>
      <c r="B326" s="67">
        <f>arrears!B226</f>
        <v>0</v>
      </c>
      <c r="C326" s="67">
        <f>arrears!C226</f>
        <v>0</v>
      </c>
      <c r="D326" s="68">
        <f t="shared" si="76"/>
        <v>0</v>
      </c>
      <c r="E326" s="67">
        <f t="shared" si="73"/>
        <v>0</v>
      </c>
      <c r="F326" s="69">
        <f t="shared" si="74"/>
        <v>0</v>
      </c>
      <c r="G326" s="156">
        <f t="shared" si="77"/>
        <v>0</v>
      </c>
      <c r="H326" s="157">
        <f t="shared" si="78"/>
        <v>0</v>
      </c>
      <c r="I326" s="157">
        <f t="shared" si="75"/>
        <v>0</v>
      </c>
      <c r="J326" s="35" t="s">
        <v>26</v>
      </c>
      <c r="L326" s="99" t="s">
        <v>26</v>
      </c>
    </row>
    <row r="327" spans="1:12" ht="13.8" thickBot="1" x14ac:dyDescent="0.3">
      <c r="A327" s="7" t="s">
        <v>19</v>
      </c>
      <c r="B327" s="72">
        <f>SUM(B315:B326)</f>
        <v>0</v>
      </c>
      <c r="C327" s="72">
        <f>SUM(C315:C326)</f>
        <v>0</v>
      </c>
      <c r="D327" s="72">
        <f>SUM(D315:D326)</f>
        <v>0</v>
      </c>
      <c r="E327" s="73">
        <f>SUM(E315:E326)</f>
        <v>0</v>
      </c>
      <c r="F327" s="73">
        <f>SUM(F315:F326)</f>
        <v>0</v>
      </c>
      <c r="G327" s="71" t="s">
        <v>26</v>
      </c>
      <c r="H327" s="74">
        <f xml:space="preserve"> SUM(H315:H326)</f>
        <v>0</v>
      </c>
      <c r="I327" s="75"/>
    </row>
    <row r="328" spans="1:12" x14ac:dyDescent="0.25">
      <c r="A328" s="207">
        <f>arrears!A228</f>
        <v>0</v>
      </c>
    </row>
    <row r="329" spans="1:12" x14ac:dyDescent="0.25">
      <c r="A329" s="207">
        <f>arrears!A229</f>
        <v>0</v>
      </c>
    </row>
    <row r="330" spans="1:12" x14ac:dyDescent="0.25">
      <c r="A330" s="207">
        <f>arrears!A230</f>
        <v>0</v>
      </c>
    </row>
    <row r="331" spans="1:12" ht="13.8" thickBot="1" x14ac:dyDescent="0.3">
      <c r="A331" s="207">
        <f>arrears!A231</f>
        <v>0</v>
      </c>
    </row>
    <row r="332" spans="1:12" ht="13.8" thickBot="1" x14ac:dyDescent="0.3">
      <c r="A332" s="4" t="s">
        <v>2</v>
      </c>
      <c r="B332" s="66" t="str">
        <f>arrears!G213</f>
        <v xml:space="preserve"> </v>
      </c>
      <c r="C332" s="12" t="s">
        <v>35</v>
      </c>
      <c r="D332" s="12" t="s">
        <v>5</v>
      </c>
      <c r="E332" s="12" t="s">
        <v>5</v>
      </c>
      <c r="F332" s="12" t="s">
        <v>46</v>
      </c>
      <c r="G332" s="12" t="s">
        <v>29</v>
      </c>
      <c r="H332" s="14" t="s">
        <v>27</v>
      </c>
      <c r="I332" s="14" t="s">
        <v>29</v>
      </c>
      <c r="L332" s="215" t="s">
        <v>31</v>
      </c>
    </row>
    <row r="333" spans="1:12" ht="13.8" thickBot="1" x14ac:dyDescent="0.3">
      <c r="A333" s="4" t="s">
        <v>3</v>
      </c>
      <c r="B333" s="4" t="s">
        <v>4</v>
      </c>
      <c r="C333" s="13" t="s">
        <v>34</v>
      </c>
      <c r="D333" s="13" t="s">
        <v>30</v>
      </c>
      <c r="E333" s="13" t="s">
        <v>27</v>
      </c>
      <c r="F333" s="13" t="s">
        <v>47</v>
      </c>
      <c r="G333" s="13" t="s">
        <v>33</v>
      </c>
      <c r="H333" s="15" t="s">
        <v>34</v>
      </c>
      <c r="I333" s="15" t="s">
        <v>31</v>
      </c>
      <c r="L333" s="216" t="s">
        <v>124</v>
      </c>
    </row>
    <row r="334" spans="1:12" ht="13.8" thickBot="1" x14ac:dyDescent="0.3">
      <c r="A334" s="3" t="s">
        <v>7</v>
      </c>
      <c r="B334" s="67">
        <f>arrears!G215</f>
        <v>0</v>
      </c>
      <c r="C334" s="67">
        <f>arrears!H215</f>
        <v>0</v>
      </c>
      <c r="D334" s="68">
        <f>IF(C334&lt;=(G326+B334),C334,IF(C334&lt;=SUM(G326+B334+I326),B334+G326,IF(C334&gt;=SUM(G326+B334+I326),(C334-I326),0)))</f>
        <v>0</v>
      </c>
      <c r="E334" s="67">
        <f t="shared" ref="E334:E345" si="79">IF(C334=D334,0,IF(C334&lt;&gt;D334,(C334-D334)))</f>
        <v>0</v>
      </c>
      <c r="F334" s="69">
        <f t="shared" ref="F334:F345" si="80">B334-D334</f>
        <v>0</v>
      </c>
      <c r="G334" s="156">
        <f>IF(J326="b",0,IF(J334="b",(G326+F334),IF(J334="s",(($M$6)+F334),IF(J334="j",$M$6,IF(J326="e",0,IF(J334="z",0,(G326+F334)))))))</f>
        <v>0</v>
      </c>
      <c r="H334" s="157">
        <f>IF(G334&lt;=0,0,IF(J334="s",0,IF(J334="n",0,IF(J334="e",(G334*$L$334),IF(J334="b",0,IF(J334="j",0,SUM(G334*$L$334)))))))</f>
        <v>0</v>
      </c>
      <c r="I334" s="157">
        <f>IF(J326="b",0,IF(J334="s",(Surcharge-E334+H334),IF(J334="j",0,IF(J326="e",0,(I326-E334+H334)))))</f>
        <v>0</v>
      </c>
      <c r="J334" s="35" t="s">
        <v>26</v>
      </c>
      <c r="K334" t="s">
        <v>26</v>
      </c>
      <c r="L334" s="99">
        <f>IF(B332&lt;2012,0.01,0.005)</f>
        <v>5.0000000000000001E-3</v>
      </c>
    </row>
    <row r="335" spans="1:12" ht="13.8" thickBot="1" x14ac:dyDescent="0.3">
      <c r="A335" s="3" t="s">
        <v>8</v>
      </c>
      <c r="B335" s="67">
        <f>arrears!G216</f>
        <v>0</v>
      </c>
      <c r="C335" s="67">
        <f>arrears!H216</f>
        <v>0</v>
      </c>
      <c r="D335" s="68">
        <f>IF(C335&lt;=(G334+B335),C335,IF(C335&lt;=(G334+B335+I334),B335+G334,IF(C335&gt;SUM(G334+B335+I334),(C335-I334),0)))</f>
        <v>0</v>
      </c>
      <c r="E335" s="67">
        <f t="shared" si="79"/>
        <v>0</v>
      </c>
      <c r="F335" s="69">
        <f t="shared" si="80"/>
        <v>0</v>
      </c>
      <c r="G335" s="156">
        <f>IF(J334="b",0,IF(J335="b",(G334+F335),IF(J335="s",(($M$6)+F335),IF(J335="j",$M$6,IF(J334="e",0,IF(J335="z",0,(G334+F335)))))))</f>
        <v>0</v>
      </c>
      <c r="H335" s="157">
        <f>IF(G335&lt;=0,0,IF(J335="s",0,IF(J335="n",0,IF(J335="e",(G335*$L$334),IF(J335="b",0,IF(J335="j",0,SUM(G335*$L$334)))))))</f>
        <v>0</v>
      </c>
      <c r="I335" s="157">
        <f t="shared" ref="I335:I345" si="81">IF(J334="b",0,IF(J335="s",(Surcharge-E335+H335),IF(J335="j",0,IF(J334="e",0,(I334-E335+H335)))))</f>
        <v>0</v>
      </c>
      <c r="L335" s="99" t="s">
        <v>26</v>
      </c>
    </row>
    <row r="336" spans="1:12" ht="13.8" thickBot="1" x14ac:dyDescent="0.3">
      <c r="A336" s="3" t="s">
        <v>9</v>
      </c>
      <c r="B336" s="67">
        <f>arrears!G217</f>
        <v>0</v>
      </c>
      <c r="C336" s="67">
        <f>arrears!H217</f>
        <v>0</v>
      </c>
      <c r="D336" s="68">
        <f t="shared" ref="D336:D345" si="82">IF(C336&lt;=(G335+B336),C336,IF(C336&lt;=(G335+B336+I335),B336+G335,IF(C336&gt;SUM(G335+B336+I335),(C336-I335),0)))</f>
        <v>0</v>
      </c>
      <c r="E336" s="67">
        <f t="shared" si="79"/>
        <v>0</v>
      </c>
      <c r="F336" s="69">
        <f t="shared" si="80"/>
        <v>0</v>
      </c>
      <c r="G336" s="156">
        <f t="shared" ref="G336:G345" si="83">IF(J335="b",0,IF(J336="b",(G335+F336),IF(J336="s",(($M$6)+F336),IF(J336="j",$M$6,IF(J335="e",0,IF(J336="z",0,(G335+F336)))))))</f>
        <v>0</v>
      </c>
      <c r="H336" s="157">
        <f t="shared" ref="H336:H345" si="84">IF(G336&lt;=0,0,IF(J336="s",0,IF(J336="n",0,IF(J336="e",(G336*$L$334),IF(J336="b",0,IF(J336="j",0,SUM(G336*$L$334)))))))</f>
        <v>0</v>
      </c>
      <c r="I336" s="157">
        <f t="shared" si="81"/>
        <v>0</v>
      </c>
      <c r="L336" s="99" t="s">
        <v>26</v>
      </c>
    </row>
    <row r="337" spans="1:12" ht="13.8" thickBot="1" x14ac:dyDescent="0.3">
      <c r="A337" s="3" t="s">
        <v>10</v>
      </c>
      <c r="B337" s="67">
        <f>arrears!G218</f>
        <v>0</v>
      </c>
      <c r="C337" s="67">
        <f>arrears!H218</f>
        <v>0</v>
      </c>
      <c r="D337" s="68">
        <f t="shared" si="82"/>
        <v>0</v>
      </c>
      <c r="E337" s="67">
        <f t="shared" si="79"/>
        <v>0</v>
      </c>
      <c r="F337" s="69">
        <f t="shared" si="80"/>
        <v>0</v>
      </c>
      <c r="G337" s="156">
        <f t="shared" si="83"/>
        <v>0</v>
      </c>
      <c r="H337" s="157">
        <f t="shared" si="84"/>
        <v>0</v>
      </c>
      <c r="I337" s="157">
        <f t="shared" si="81"/>
        <v>0</v>
      </c>
      <c r="L337" s="99" t="s">
        <v>26</v>
      </c>
    </row>
    <row r="338" spans="1:12" ht="13.8" thickBot="1" x14ac:dyDescent="0.3">
      <c r="A338" s="3" t="s">
        <v>11</v>
      </c>
      <c r="B338" s="67">
        <f>arrears!G219</f>
        <v>0</v>
      </c>
      <c r="C338" s="67">
        <f>arrears!H219</f>
        <v>0</v>
      </c>
      <c r="D338" s="68">
        <f t="shared" si="82"/>
        <v>0</v>
      </c>
      <c r="E338" s="67">
        <f t="shared" si="79"/>
        <v>0</v>
      </c>
      <c r="F338" s="69">
        <f t="shared" si="80"/>
        <v>0</v>
      </c>
      <c r="G338" s="156">
        <f t="shared" si="83"/>
        <v>0</v>
      </c>
      <c r="H338" s="157">
        <f t="shared" si="84"/>
        <v>0</v>
      </c>
      <c r="I338" s="157">
        <f t="shared" si="81"/>
        <v>0</v>
      </c>
      <c r="L338" s="99" t="s">
        <v>26</v>
      </c>
    </row>
    <row r="339" spans="1:12" ht="13.8" thickBot="1" x14ac:dyDescent="0.3">
      <c r="A339" s="3" t="s">
        <v>12</v>
      </c>
      <c r="B339" s="67">
        <f>arrears!G220</f>
        <v>0</v>
      </c>
      <c r="C339" s="67">
        <f>arrears!H220</f>
        <v>0</v>
      </c>
      <c r="D339" s="68">
        <f t="shared" si="82"/>
        <v>0</v>
      </c>
      <c r="E339" s="67">
        <f t="shared" si="79"/>
        <v>0</v>
      </c>
      <c r="F339" s="69">
        <f t="shared" si="80"/>
        <v>0</v>
      </c>
      <c r="G339" s="156">
        <f t="shared" si="83"/>
        <v>0</v>
      </c>
      <c r="H339" s="157">
        <f t="shared" si="84"/>
        <v>0</v>
      </c>
      <c r="I339" s="157">
        <f t="shared" si="81"/>
        <v>0</v>
      </c>
      <c r="L339" s="99" t="s">
        <v>26</v>
      </c>
    </row>
    <row r="340" spans="1:12" ht="13.8" thickBot="1" x14ac:dyDescent="0.3">
      <c r="A340" s="3" t="s">
        <v>13</v>
      </c>
      <c r="B340" s="67">
        <f>arrears!G221</f>
        <v>0</v>
      </c>
      <c r="C340" s="67">
        <f>arrears!H221</f>
        <v>0</v>
      </c>
      <c r="D340" s="68">
        <f t="shared" si="82"/>
        <v>0</v>
      </c>
      <c r="E340" s="67">
        <f t="shared" si="79"/>
        <v>0</v>
      </c>
      <c r="F340" s="69">
        <f t="shared" si="80"/>
        <v>0</v>
      </c>
      <c r="G340" s="156">
        <f t="shared" si="83"/>
        <v>0</v>
      </c>
      <c r="H340" s="157">
        <f t="shared" si="84"/>
        <v>0</v>
      </c>
      <c r="I340" s="157">
        <f t="shared" si="81"/>
        <v>0</v>
      </c>
      <c r="L340" s="99" t="s">
        <v>26</v>
      </c>
    </row>
    <row r="341" spans="1:12" ht="13.8" thickBot="1" x14ac:dyDescent="0.3">
      <c r="A341" s="3" t="s">
        <v>14</v>
      </c>
      <c r="B341" s="67">
        <f>arrears!G222</f>
        <v>0</v>
      </c>
      <c r="C341" s="67">
        <f>arrears!H222</f>
        <v>0</v>
      </c>
      <c r="D341" s="68">
        <f t="shared" si="82"/>
        <v>0</v>
      </c>
      <c r="E341" s="67">
        <f t="shared" si="79"/>
        <v>0</v>
      </c>
      <c r="F341" s="69">
        <f t="shared" si="80"/>
        <v>0</v>
      </c>
      <c r="G341" s="156">
        <f t="shared" si="83"/>
        <v>0</v>
      </c>
      <c r="H341" s="157">
        <f t="shared" si="84"/>
        <v>0</v>
      </c>
      <c r="I341" s="157">
        <f t="shared" si="81"/>
        <v>0</v>
      </c>
      <c r="L341" s="99" t="s">
        <v>26</v>
      </c>
    </row>
    <row r="342" spans="1:12" ht="13.8" thickBot="1" x14ac:dyDescent="0.3">
      <c r="A342" s="3" t="s">
        <v>15</v>
      </c>
      <c r="B342" s="67">
        <f>arrears!G223</f>
        <v>0</v>
      </c>
      <c r="C342" s="67">
        <f>arrears!H223</f>
        <v>0</v>
      </c>
      <c r="D342" s="68">
        <f t="shared" si="82"/>
        <v>0</v>
      </c>
      <c r="E342" s="67">
        <f t="shared" si="79"/>
        <v>0</v>
      </c>
      <c r="F342" s="69">
        <f t="shared" si="80"/>
        <v>0</v>
      </c>
      <c r="G342" s="156">
        <f t="shared" si="83"/>
        <v>0</v>
      </c>
      <c r="H342" s="157">
        <f t="shared" si="84"/>
        <v>0</v>
      </c>
      <c r="I342" s="157">
        <f t="shared" si="81"/>
        <v>0</v>
      </c>
      <c r="L342" s="99" t="s">
        <v>26</v>
      </c>
    </row>
    <row r="343" spans="1:12" ht="13.8" thickBot="1" x14ac:dyDescent="0.3">
      <c r="A343" s="3" t="s">
        <v>16</v>
      </c>
      <c r="B343" s="67">
        <f>arrears!G224</f>
        <v>0</v>
      </c>
      <c r="C343" s="67">
        <f>arrears!H224</f>
        <v>0</v>
      </c>
      <c r="D343" s="68">
        <f t="shared" si="82"/>
        <v>0</v>
      </c>
      <c r="E343" s="67">
        <f t="shared" si="79"/>
        <v>0</v>
      </c>
      <c r="F343" s="69">
        <f t="shared" si="80"/>
        <v>0</v>
      </c>
      <c r="G343" s="156">
        <f t="shared" si="83"/>
        <v>0</v>
      </c>
      <c r="H343" s="157">
        <f t="shared" si="84"/>
        <v>0</v>
      </c>
      <c r="I343" s="157">
        <f t="shared" si="81"/>
        <v>0</v>
      </c>
      <c r="L343" s="99" t="s">
        <v>26</v>
      </c>
    </row>
    <row r="344" spans="1:12" ht="13.8" thickBot="1" x14ac:dyDescent="0.3">
      <c r="A344" s="3" t="s">
        <v>17</v>
      </c>
      <c r="B344" s="67">
        <f>arrears!G225</f>
        <v>0</v>
      </c>
      <c r="C344" s="67">
        <f>arrears!H225</f>
        <v>0</v>
      </c>
      <c r="D344" s="68">
        <f t="shared" si="82"/>
        <v>0</v>
      </c>
      <c r="E344" s="67">
        <f t="shared" si="79"/>
        <v>0</v>
      </c>
      <c r="F344" s="69">
        <f t="shared" si="80"/>
        <v>0</v>
      </c>
      <c r="G344" s="156">
        <f t="shared" si="83"/>
        <v>0</v>
      </c>
      <c r="H344" s="157">
        <f t="shared" si="84"/>
        <v>0</v>
      </c>
      <c r="I344" s="157">
        <f t="shared" si="81"/>
        <v>0</v>
      </c>
      <c r="L344" s="99" t="s">
        <v>26</v>
      </c>
    </row>
    <row r="345" spans="1:12" ht="13.8" thickBot="1" x14ac:dyDescent="0.3">
      <c r="A345" s="3" t="s">
        <v>18</v>
      </c>
      <c r="B345" s="67">
        <f>arrears!G226</f>
        <v>0</v>
      </c>
      <c r="C345" s="67">
        <f>arrears!H226</f>
        <v>0</v>
      </c>
      <c r="D345" s="68">
        <f t="shared" si="82"/>
        <v>0</v>
      </c>
      <c r="E345" s="67">
        <f t="shared" si="79"/>
        <v>0</v>
      </c>
      <c r="F345" s="69">
        <f t="shared" si="80"/>
        <v>0</v>
      </c>
      <c r="G345" s="156">
        <f t="shared" si="83"/>
        <v>0</v>
      </c>
      <c r="H345" s="157">
        <f t="shared" si="84"/>
        <v>0</v>
      </c>
      <c r="I345" s="157">
        <f t="shared" si="81"/>
        <v>0</v>
      </c>
      <c r="J345" s="35" t="s">
        <v>26</v>
      </c>
      <c r="L345" s="99" t="s">
        <v>26</v>
      </c>
    </row>
    <row r="346" spans="1:12" ht="13.8" thickBot="1" x14ac:dyDescent="0.3">
      <c r="A346" s="7" t="s">
        <v>19</v>
      </c>
      <c r="B346" s="72">
        <f>SUM(B334:B345)</f>
        <v>0</v>
      </c>
      <c r="C346" s="72">
        <f>SUM(C334:C345)</f>
        <v>0</v>
      </c>
      <c r="D346" s="72">
        <f>SUM(D334:D345)</f>
        <v>0</v>
      </c>
      <c r="E346" s="73">
        <f>SUM(E334:E345)</f>
        <v>0</v>
      </c>
      <c r="F346" s="73">
        <f>SUM(F334:F345)</f>
        <v>0</v>
      </c>
      <c r="G346" s="71" t="s">
        <v>26</v>
      </c>
      <c r="H346" s="74">
        <f xml:space="preserve"> SUM(H334:H345)</f>
        <v>0</v>
      </c>
      <c r="I346" s="75"/>
    </row>
    <row r="347" spans="1:12" x14ac:dyDescent="0.25">
      <c r="A347" s="181">
        <f>arrears!F228</f>
        <v>0</v>
      </c>
    </row>
    <row r="348" spans="1:12" x14ac:dyDescent="0.25">
      <c r="A348" s="181">
        <f>arrears!F229</f>
        <v>0</v>
      </c>
    </row>
    <row r="349" spans="1:12" x14ac:dyDescent="0.25">
      <c r="A349" s="207">
        <f>arrears!F230</f>
        <v>0</v>
      </c>
    </row>
    <row r="350" spans="1:12" ht="13.8" thickBot="1" x14ac:dyDescent="0.3">
      <c r="A350" s="181">
        <f>arrears!F231</f>
        <v>0</v>
      </c>
    </row>
    <row r="351" spans="1:12" ht="13.8" thickBot="1" x14ac:dyDescent="0.3">
      <c r="A351" s="4" t="s">
        <v>2</v>
      </c>
      <c r="B351" s="66" t="str">
        <f>arrears!B232</f>
        <v xml:space="preserve"> </v>
      </c>
      <c r="C351" s="12" t="s">
        <v>35</v>
      </c>
      <c r="D351" s="12" t="s">
        <v>5</v>
      </c>
      <c r="E351" s="12" t="s">
        <v>5</v>
      </c>
      <c r="F351" s="12" t="s">
        <v>46</v>
      </c>
      <c r="G351" s="12" t="s">
        <v>29</v>
      </c>
      <c r="H351" s="14" t="s">
        <v>27</v>
      </c>
      <c r="I351" s="14" t="s">
        <v>29</v>
      </c>
      <c r="L351" s="215" t="s">
        <v>31</v>
      </c>
    </row>
    <row r="352" spans="1:12" ht="13.8" thickBot="1" x14ac:dyDescent="0.3">
      <c r="A352" s="4" t="s">
        <v>3</v>
      </c>
      <c r="B352" s="4" t="s">
        <v>4</v>
      </c>
      <c r="C352" s="13" t="s">
        <v>34</v>
      </c>
      <c r="D352" s="13" t="s">
        <v>30</v>
      </c>
      <c r="E352" s="13" t="s">
        <v>27</v>
      </c>
      <c r="F352" s="13" t="s">
        <v>47</v>
      </c>
      <c r="G352" s="13" t="s">
        <v>33</v>
      </c>
      <c r="H352" s="15" t="s">
        <v>34</v>
      </c>
      <c r="I352" s="15" t="s">
        <v>31</v>
      </c>
      <c r="L352" s="216" t="s">
        <v>124</v>
      </c>
    </row>
    <row r="353" spans="1:12" ht="13.8" thickBot="1" x14ac:dyDescent="0.3">
      <c r="A353" s="3" t="s">
        <v>7</v>
      </c>
      <c r="B353" s="67">
        <f>arrears!B234</f>
        <v>0</v>
      </c>
      <c r="C353" s="67">
        <f>arrears!C234</f>
        <v>0</v>
      </c>
      <c r="D353" s="68">
        <f>IF(C353&lt;=(G345+B353),C353,IF(C353&lt;=SUM(G345+B353+I345),B353+G345,IF(C353&gt;=SUM(G345+B353+I345),(C353-I345),0)))</f>
        <v>0</v>
      </c>
      <c r="E353" s="67">
        <f t="shared" ref="E353:E364" si="85">IF(C353=D353,0,IF(C353&lt;&gt;D353,(C353-D353)))</f>
        <v>0</v>
      </c>
      <c r="F353" s="69">
        <f t="shared" ref="F353:F364" si="86">B353-D353</f>
        <v>0</v>
      </c>
      <c r="G353" s="156">
        <f>IF(J345="b",0,IF(J353="b",(G345+F353),IF(J353="s",(($M$6)+F353),IF(J353="j",$M$6,IF(J345="e",0,IF(J353="z",0,(G345+F353)))))))</f>
        <v>0</v>
      </c>
      <c r="H353" s="157">
        <f>IF(G353&lt;=0,0,IF(J353="s",0,IF(J353="n",0,IF(J353="e",(G353*$L$353),IF(J353="b",0,IF(J353="j",0,SUM(G353*$L$353)))))))</f>
        <v>0</v>
      </c>
      <c r="I353" s="71">
        <f>IF(J345="b",0,IF(J353="s",(Surcharge-E353+H353),IF(J353="j",0,IF(J345="e",0,(I345-E353+H353)))))</f>
        <v>0</v>
      </c>
      <c r="J353" s="35" t="s">
        <v>26</v>
      </c>
      <c r="L353" s="99">
        <f>IF(B351&lt;2012,0.01,0.005)</f>
        <v>5.0000000000000001E-3</v>
      </c>
    </row>
    <row r="354" spans="1:12" ht="13.8" thickBot="1" x14ac:dyDescent="0.3">
      <c r="A354" s="3" t="s">
        <v>8</v>
      </c>
      <c r="B354" s="67">
        <f>arrears!B235</f>
        <v>0</v>
      </c>
      <c r="C354" s="67">
        <f>arrears!C235</f>
        <v>0</v>
      </c>
      <c r="D354" s="68">
        <f>IF(C354&lt;=(G353+B354),C354,IF(C354&lt;=(G353+B354+I353),B354+G353,IF(C354&gt;SUM(G353+B354+I353),(C354-I353),0)))</f>
        <v>0</v>
      </c>
      <c r="E354" s="67">
        <f t="shared" si="85"/>
        <v>0</v>
      </c>
      <c r="F354" s="69">
        <f t="shared" si="86"/>
        <v>0</v>
      </c>
      <c r="G354" s="156">
        <f>IF(J353="b",0,IF(J354="b",(G353+F354),IF(J354="s",(($M$6)+F354),IF(J354="j",$M$6,IF(J353="e",0,IF(J354="z",0,(G353+F354)))))))</f>
        <v>0</v>
      </c>
      <c r="H354" s="157">
        <f>IF(G354&lt;=0,0,IF(J354="s",0,IF(J354="n",0,IF(J354="e",(G354*$L$353),IF(J354="b",0,IF(J354="j",0,SUM(G354*$L$353)))))))</f>
        <v>0</v>
      </c>
      <c r="I354" s="157">
        <f t="shared" ref="I354:I364" si="87">IF(J353="b",0,IF(J354="s",(Surcharge-E354+H354),IF(J354="j",0,IF(J353="e",0,(I353-E354+H354)))))</f>
        <v>0</v>
      </c>
      <c r="J354" s="35" t="s">
        <v>26</v>
      </c>
      <c r="L354" s="99" t="s">
        <v>26</v>
      </c>
    </row>
    <row r="355" spans="1:12" ht="13.8" thickBot="1" x14ac:dyDescent="0.3">
      <c r="A355" s="3" t="s">
        <v>9</v>
      </c>
      <c r="B355" s="67">
        <f>arrears!B236</f>
        <v>0</v>
      </c>
      <c r="C355" s="67">
        <f>arrears!C236</f>
        <v>0</v>
      </c>
      <c r="D355" s="68">
        <f t="shared" ref="D355:D364" si="88">IF(C355&lt;=(G354+B355),C355,IF(C355&lt;=(G354+B355+I354),B355+G354,IF(C355&gt;SUM(G354+B355+I354),(C355-I354),0)))</f>
        <v>0</v>
      </c>
      <c r="E355" s="67">
        <f t="shared" si="85"/>
        <v>0</v>
      </c>
      <c r="F355" s="69">
        <f t="shared" si="86"/>
        <v>0</v>
      </c>
      <c r="G355" s="156">
        <f t="shared" ref="G355:G364" si="89">IF(J354="b",0,IF(J355="b",(G354+F355),IF(J355="s",(($M$6)+F355),IF(J355="j",$M$6,IF(J354="e",0,IF(J355="z",0,(G354+F355)))))))</f>
        <v>0</v>
      </c>
      <c r="H355" s="157">
        <f t="shared" ref="H355:H364" si="90">IF(G355&lt;=0,0,IF(J355="s",0,IF(J355="n",0,IF(J355="e",(G355*$L$353),IF(J355="b",0,IF(J355="j",0,SUM(G355*$L$353)))))))</f>
        <v>0</v>
      </c>
      <c r="I355" s="157">
        <f t="shared" si="87"/>
        <v>0</v>
      </c>
      <c r="L355" s="99" t="s">
        <v>26</v>
      </c>
    </row>
    <row r="356" spans="1:12" ht="13.8" thickBot="1" x14ac:dyDescent="0.3">
      <c r="A356" s="3" t="s">
        <v>10</v>
      </c>
      <c r="B356" s="67">
        <f>arrears!B237</f>
        <v>0</v>
      </c>
      <c r="C356" s="67">
        <f>arrears!C237</f>
        <v>0</v>
      </c>
      <c r="D356" s="68">
        <f t="shared" si="88"/>
        <v>0</v>
      </c>
      <c r="E356" s="67">
        <f t="shared" si="85"/>
        <v>0</v>
      </c>
      <c r="F356" s="69">
        <f t="shared" si="86"/>
        <v>0</v>
      </c>
      <c r="G356" s="156">
        <f t="shared" si="89"/>
        <v>0</v>
      </c>
      <c r="H356" s="157">
        <f t="shared" si="90"/>
        <v>0</v>
      </c>
      <c r="I356" s="157">
        <f t="shared" si="87"/>
        <v>0</v>
      </c>
      <c r="L356" s="99" t="s">
        <v>26</v>
      </c>
    </row>
    <row r="357" spans="1:12" ht="13.8" thickBot="1" x14ac:dyDescent="0.3">
      <c r="A357" s="3" t="s">
        <v>11</v>
      </c>
      <c r="B357" s="67">
        <f>arrears!B238</f>
        <v>0</v>
      </c>
      <c r="C357" s="67">
        <f>arrears!C238</f>
        <v>0</v>
      </c>
      <c r="D357" s="68">
        <f t="shared" si="88"/>
        <v>0</v>
      </c>
      <c r="E357" s="67">
        <f t="shared" si="85"/>
        <v>0</v>
      </c>
      <c r="F357" s="69">
        <f t="shared" si="86"/>
        <v>0</v>
      </c>
      <c r="G357" s="156">
        <f t="shared" si="89"/>
        <v>0</v>
      </c>
      <c r="H357" s="157">
        <f t="shared" si="90"/>
        <v>0</v>
      </c>
      <c r="I357" s="157">
        <f t="shared" si="87"/>
        <v>0</v>
      </c>
      <c r="L357" s="99" t="s">
        <v>26</v>
      </c>
    </row>
    <row r="358" spans="1:12" ht="13.8" thickBot="1" x14ac:dyDescent="0.3">
      <c r="A358" s="3" t="s">
        <v>12</v>
      </c>
      <c r="B358" s="67">
        <f>arrears!B239</f>
        <v>0</v>
      </c>
      <c r="C358" s="67">
        <f>arrears!C239</f>
        <v>0</v>
      </c>
      <c r="D358" s="68">
        <f t="shared" si="88"/>
        <v>0</v>
      </c>
      <c r="E358" s="67">
        <f t="shared" si="85"/>
        <v>0</v>
      </c>
      <c r="F358" s="69">
        <f t="shared" si="86"/>
        <v>0</v>
      </c>
      <c r="G358" s="156">
        <f t="shared" si="89"/>
        <v>0</v>
      </c>
      <c r="H358" s="157">
        <f t="shared" si="90"/>
        <v>0</v>
      </c>
      <c r="I358" s="157">
        <f t="shared" si="87"/>
        <v>0</v>
      </c>
      <c r="L358" s="99" t="s">
        <v>26</v>
      </c>
    </row>
    <row r="359" spans="1:12" ht="13.8" thickBot="1" x14ac:dyDescent="0.3">
      <c r="A359" s="3" t="s">
        <v>13</v>
      </c>
      <c r="B359" s="67">
        <f>arrears!B240</f>
        <v>0</v>
      </c>
      <c r="C359" s="67">
        <f>arrears!C240</f>
        <v>0</v>
      </c>
      <c r="D359" s="68">
        <f t="shared" si="88"/>
        <v>0</v>
      </c>
      <c r="E359" s="67">
        <f t="shared" si="85"/>
        <v>0</v>
      </c>
      <c r="F359" s="69">
        <f t="shared" si="86"/>
        <v>0</v>
      </c>
      <c r="G359" s="156">
        <f t="shared" si="89"/>
        <v>0</v>
      </c>
      <c r="H359" s="157">
        <f t="shared" si="90"/>
        <v>0</v>
      </c>
      <c r="I359" s="157">
        <f t="shared" si="87"/>
        <v>0</v>
      </c>
      <c r="L359" s="99" t="s">
        <v>26</v>
      </c>
    </row>
    <row r="360" spans="1:12" ht="13.8" thickBot="1" x14ac:dyDescent="0.3">
      <c r="A360" s="3" t="s">
        <v>14</v>
      </c>
      <c r="B360" s="67">
        <f>arrears!B241</f>
        <v>0</v>
      </c>
      <c r="C360" s="67">
        <f>arrears!C241</f>
        <v>0</v>
      </c>
      <c r="D360" s="68">
        <f t="shared" si="88"/>
        <v>0</v>
      </c>
      <c r="E360" s="67">
        <f t="shared" si="85"/>
        <v>0</v>
      </c>
      <c r="F360" s="69">
        <f t="shared" si="86"/>
        <v>0</v>
      </c>
      <c r="G360" s="156">
        <f t="shared" si="89"/>
        <v>0</v>
      </c>
      <c r="H360" s="157">
        <f t="shared" si="90"/>
        <v>0</v>
      </c>
      <c r="I360" s="157">
        <f t="shared" si="87"/>
        <v>0</v>
      </c>
      <c r="L360" s="99" t="s">
        <v>26</v>
      </c>
    </row>
    <row r="361" spans="1:12" ht="13.8" thickBot="1" x14ac:dyDescent="0.3">
      <c r="A361" s="3" t="s">
        <v>15</v>
      </c>
      <c r="B361" s="67">
        <f>arrears!B242</f>
        <v>0</v>
      </c>
      <c r="C361" s="67">
        <f>arrears!C242</f>
        <v>0</v>
      </c>
      <c r="D361" s="68">
        <f t="shared" si="88"/>
        <v>0</v>
      </c>
      <c r="E361" s="67">
        <f t="shared" si="85"/>
        <v>0</v>
      </c>
      <c r="F361" s="69">
        <f t="shared" si="86"/>
        <v>0</v>
      </c>
      <c r="G361" s="156">
        <f t="shared" si="89"/>
        <v>0</v>
      </c>
      <c r="H361" s="157">
        <f t="shared" si="90"/>
        <v>0</v>
      </c>
      <c r="I361" s="157">
        <f t="shared" si="87"/>
        <v>0</v>
      </c>
      <c r="L361" s="99" t="s">
        <v>26</v>
      </c>
    </row>
    <row r="362" spans="1:12" ht="13.8" thickBot="1" x14ac:dyDescent="0.3">
      <c r="A362" s="3" t="s">
        <v>16</v>
      </c>
      <c r="B362" s="67">
        <f>arrears!B243</f>
        <v>0</v>
      </c>
      <c r="C362" s="67">
        <f>arrears!C243</f>
        <v>0</v>
      </c>
      <c r="D362" s="68">
        <f t="shared" si="88"/>
        <v>0</v>
      </c>
      <c r="E362" s="67">
        <f t="shared" si="85"/>
        <v>0</v>
      </c>
      <c r="F362" s="69">
        <f t="shared" si="86"/>
        <v>0</v>
      </c>
      <c r="G362" s="156">
        <f t="shared" si="89"/>
        <v>0</v>
      </c>
      <c r="H362" s="157">
        <f t="shared" si="90"/>
        <v>0</v>
      </c>
      <c r="I362" s="157">
        <f t="shared" si="87"/>
        <v>0</v>
      </c>
      <c r="L362" s="99" t="s">
        <v>26</v>
      </c>
    </row>
    <row r="363" spans="1:12" ht="13.8" thickBot="1" x14ac:dyDescent="0.3">
      <c r="A363" s="3" t="s">
        <v>17</v>
      </c>
      <c r="B363" s="67">
        <f>arrears!B244</f>
        <v>0</v>
      </c>
      <c r="C363" s="67">
        <f>arrears!C244</f>
        <v>0</v>
      </c>
      <c r="D363" s="68">
        <f t="shared" si="88"/>
        <v>0</v>
      </c>
      <c r="E363" s="67">
        <f t="shared" si="85"/>
        <v>0</v>
      </c>
      <c r="F363" s="69">
        <f t="shared" si="86"/>
        <v>0</v>
      </c>
      <c r="G363" s="156">
        <f t="shared" si="89"/>
        <v>0</v>
      </c>
      <c r="H363" s="157">
        <f t="shared" si="90"/>
        <v>0</v>
      </c>
      <c r="I363" s="157">
        <f t="shared" si="87"/>
        <v>0</v>
      </c>
      <c r="L363" s="99" t="s">
        <v>26</v>
      </c>
    </row>
    <row r="364" spans="1:12" ht="13.8" thickBot="1" x14ac:dyDescent="0.3">
      <c r="A364" s="3" t="s">
        <v>18</v>
      </c>
      <c r="B364" s="67">
        <f>arrears!B245</f>
        <v>0</v>
      </c>
      <c r="C364" s="67">
        <f>arrears!C245</f>
        <v>0</v>
      </c>
      <c r="D364" s="68">
        <f t="shared" si="88"/>
        <v>0</v>
      </c>
      <c r="E364" s="67">
        <f t="shared" si="85"/>
        <v>0</v>
      </c>
      <c r="F364" s="69">
        <f t="shared" si="86"/>
        <v>0</v>
      </c>
      <c r="G364" s="156">
        <f t="shared" si="89"/>
        <v>0</v>
      </c>
      <c r="H364" s="157">
        <f t="shared" si="90"/>
        <v>0</v>
      </c>
      <c r="I364" s="157">
        <f t="shared" si="87"/>
        <v>0</v>
      </c>
      <c r="J364" s="35" t="s">
        <v>26</v>
      </c>
      <c r="L364" s="99" t="s">
        <v>26</v>
      </c>
    </row>
    <row r="365" spans="1:12" ht="13.8" thickBot="1" x14ac:dyDescent="0.3">
      <c r="A365" s="7" t="s">
        <v>19</v>
      </c>
      <c r="B365" s="72">
        <f>SUM(B353:B364)</f>
        <v>0</v>
      </c>
      <c r="C365" s="72">
        <f>SUM(C353:C364)</f>
        <v>0</v>
      </c>
      <c r="D365" s="72">
        <f>SUM(D353:D364)</f>
        <v>0</v>
      </c>
      <c r="E365" s="73">
        <f>SUM(E353:E364)</f>
        <v>0</v>
      </c>
      <c r="F365" s="73">
        <f>SUM(F353:F364)</f>
        <v>0</v>
      </c>
      <c r="G365" s="71" t="s">
        <v>26</v>
      </c>
      <c r="H365" s="74">
        <f xml:space="preserve"> SUM(H353:H364)</f>
        <v>0</v>
      </c>
      <c r="I365" s="75"/>
    </row>
    <row r="366" spans="1:12" x14ac:dyDescent="0.25">
      <c r="A366" s="207">
        <f>arrears!A247</f>
        <v>0</v>
      </c>
    </row>
    <row r="367" spans="1:12" x14ac:dyDescent="0.25">
      <c r="A367" s="207">
        <f>arrears!A248</f>
        <v>0</v>
      </c>
    </row>
    <row r="368" spans="1:12" x14ac:dyDescent="0.25">
      <c r="A368" s="207">
        <f>arrears!A249</f>
        <v>0</v>
      </c>
    </row>
    <row r="369" spans="1:12" x14ac:dyDescent="0.25">
      <c r="A369" s="207">
        <f>arrears!A250</f>
        <v>0</v>
      </c>
    </row>
    <row r="370" spans="1:12" x14ac:dyDescent="0.25">
      <c r="A370" s="18"/>
      <c r="B370" s="18"/>
      <c r="C370" s="18"/>
      <c r="D370" s="18"/>
      <c r="E370" s="18"/>
      <c r="F370" s="17"/>
      <c r="G370" s="18"/>
      <c r="H370" s="18"/>
      <c r="I370" s="17"/>
    </row>
    <row r="371" spans="1:12" x14ac:dyDescent="0.25">
      <c r="A371" s="18"/>
      <c r="B371" s="18"/>
      <c r="C371" s="18"/>
      <c r="D371" s="18"/>
      <c r="E371" s="18"/>
      <c r="F371" s="17"/>
      <c r="G371" s="18"/>
      <c r="H371" s="18"/>
      <c r="I371" s="17"/>
    </row>
    <row r="372" spans="1:12" x14ac:dyDescent="0.25">
      <c r="A372" s="18"/>
      <c r="B372" s="18"/>
      <c r="C372" s="18"/>
      <c r="D372" s="18"/>
      <c r="E372" s="18"/>
      <c r="F372" s="17"/>
      <c r="G372" s="18"/>
      <c r="H372" s="18"/>
      <c r="I372" s="17"/>
    </row>
    <row r="373" spans="1:12" x14ac:dyDescent="0.25">
      <c r="A373" s="18"/>
      <c r="B373" s="21" t="s">
        <v>0</v>
      </c>
      <c r="C373" s="96" t="str">
        <f>$C$3</f>
        <v xml:space="preserve"> </v>
      </c>
      <c r="D373" s="19"/>
      <c r="E373" s="19"/>
      <c r="F373" s="6" t="s">
        <v>53</v>
      </c>
      <c r="G373" s="96" t="str">
        <f>$G$3</f>
        <v xml:space="preserve"> </v>
      </c>
      <c r="H373" s="18"/>
      <c r="I373" s="17"/>
    </row>
    <row r="374" spans="1:12" x14ac:dyDescent="0.25">
      <c r="A374" s="18"/>
      <c r="B374" s="21" t="s">
        <v>1</v>
      </c>
      <c r="C374" s="96" t="str">
        <f>$C$4</f>
        <v xml:space="preserve"> </v>
      </c>
      <c r="D374" s="19"/>
      <c r="E374" s="19"/>
      <c r="F374" s="21" t="s">
        <v>26</v>
      </c>
      <c r="G374" s="19" t="s">
        <v>26</v>
      </c>
      <c r="H374" s="18"/>
      <c r="I374" s="17"/>
    </row>
    <row r="375" spans="1:12" x14ac:dyDescent="0.25">
      <c r="A375" s="18"/>
      <c r="B375" s="18"/>
      <c r="C375" s="18"/>
      <c r="D375" s="18"/>
      <c r="E375" s="18"/>
      <c r="F375" s="17"/>
      <c r="G375" s="18"/>
      <c r="H375" s="18"/>
      <c r="I375" s="17"/>
    </row>
    <row r="376" spans="1:12" ht="13.8" thickBot="1" x14ac:dyDescent="0.3">
      <c r="A376" s="18"/>
      <c r="B376" s="18"/>
      <c r="C376" s="18"/>
      <c r="D376" s="18"/>
      <c r="E376" s="18"/>
      <c r="F376" s="18"/>
      <c r="G376" s="18"/>
      <c r="H376" s="18"/>
      <c r="I376" s="17"/>
    </row>
    <row r="377" spans="1:12" ht="13.8" thickBot="1" x14ac:dyDescent="0.3">
      <c r="A377" s="4" t="s">
        <v>2</v>
      </c>
      <c r="B377" s="66" t="str">
        <f>arrears!G232</f>
        <v xml:space="preserve"> </v>
      </c>
      <c r="C377" s="12" t="s">
        <v>35</v>
      </c>
      <c r="D377" s="12" t="s">
        <v>5</v>
      </c>
      <c r="E377" s="12" t="s">
        <v>5</v>
      </c>
      <c r="F377" s="12" t="s">
        <v>46</v>
      </c>
      <c r="G377" s="12" t="s">
        <v>29</v>
      </c>
      <c r="H377" s="14" t="s">
        <v>27</v>
      </c>
      <c r="I377" s="14" t="s">
        <v>29</v>
      </c>
      <c r="L377" s="215" t="s">
        <v>31</v>
      </c>
    </row>
    <row r="378" spans="1:12" ht="13.8" thickBot="1" x14ac:dyDescent="0.3">
      <c r="A378" s="4" t="s">
        <v>3</v>
      </c>
      <c r="B378" s="4" t="s">
        <v>4</v>
      </c>
      <c r="C378" s="13" t="s">
        <v>34</v>
      </c>
      <c r="D378" s="13" t="s">
        <v>30</v>
      </c>
      <c r="E378" s="13" t="s">
        <v>27</v>
      </c>
      <c r="F378" s="13" t="s">
        <v>47</v>
      </c>
      <c r="G378" s="13" t="s">
        <v>33</v>
      </c>
      <c r="H378" s="15" t="s">
        <v>34</v>
      </c>
      <c r="I378" s="15" t="s">
        <v>31</v>
      </c>
      <c r="L378" s="216" t="s">
        <v>124</v>
      </c>
    </row>
    <row r="379" spans="1:12" ht="13.8" thickBot="1" x14ac:dyDescent="0.3">
      <c r="A379" s="3" t="s">
        <v>7</v>
      </c>
      <c r="B379" s="67">
        <f>arrears!G234</f>
        <v>0</v>
      </c>
      <c r="C379" s="67">
        <f>arrears!H234</f>
        <v>0</v>
      </c>
      <c r="D379" s="68">
        <f>IF(C379&lt;=(G364+B379),C379,IF(C379&lt;=SUM(G364+B379+I364),B379+G364,IF(C379&gt;SUM(G364+B379+I364),(C379-I364),0)))</f>
        <v>0</v>
      </c>
      <c r="E379" s="67">
        <f t="shared" ref="E379:E390" si="91">IF(C379=D379,0,IF(C379&lt;&gt;D379,(C379-D379)))</f>
        <v>0</v>
      </c>
      <c r="F379" s="69">
        <f t="shared" ref="F379:F390" si="92">B379-D379</f>
        <v>0</v>
      </c>
      <c r="G379" s="70">
        <f>IF(J364="b",0,IF(J379="b",(G364+F379),IF(J379="s",(($M$6)+F379),IF(J379="j",$M$6,IF(J364="e",0,IF(J379="z",0,(G364+F379)))))))</f>
        <v>0</v>
      </c>
      <c r="H379" s="157">
        <f>IF(G379&lt;=0,0,IF(J379="s",0,IF(J379="n",0,IF(J379="e",(G379*$L$379),IF(J379="b",0,IF(J379="j",0,SUM(G379*$L$379)))))))</f>
        <v>0</v>
      </c>
      <c r="I379" s="71">
        <f>IF(J364="b",0,IF(J379="s",(Surcharge-E379+H379),IF(J379="j",0,IF(J364="e",0,(I364-E379+H379)))))</f>
        <v>0</v>
      </c>
      <c r="J379" s="35" t="s">
        <v>26</v>
      </c>
      <c r="L379" s="99">
        <f>IF(B377&lt;2012,0.01,0.005)</f>
        <v>5.0000000000000001E-3</v>
      </c>
    </row>
    <row r="380" spans="1:12" ht="13.8" thickBot="1" x14ac:dyDescent="0.3">
      <c r="A380" s="3" t="s">
        <v>8</v>
      </c>
      <c r="B380" s="67">
        <f>arrears!G235</f>
        <v>0</v>
      </c>
      <c r="C380" s="67">
        <f>arrears!H235</f>
        <v>0</v>
      </c>
      <c r="D380" s="68">
        <f>IF(C380&lt;=(G379+B380),C380,IF(C380&lt;=(G379+B380+I379),B380+G379,IF(C380&gt;SUM(G379+B380+I379),(C380-I379),0)))</f>
        <v>0</v>
      </c>
      <c r="E380" s="67">
        <f t="shared" si="91"/>
        <v>0</v>
      </c>
      <c r="F380" s="69">
        <f t="shared" si="92"/>
        <v>0</v>
      </c>
      <c r="G380" s="156">
        <f>IF(J379="b",0,IF(J380="b",(G379+F380),IF(J380="s",(($M$6)+F380),IF(J380="j",$M$6,IF(J379="e",0,IF(J380="z",0,(G379+F380)))))))</f>
        <v>0</v>
      </c>
      <c r="H380" s="157">
        <f>IF(G380&lt;=0,0,IF(J380="s",0,IF(J380="n",0,IF(J380="e",(G380*$L$379),IF(J380="b",0,IF(J380="j",0,SUM(G380*$L$379)))))))</f>
        <v>0</v>
      </c>
      <c r="I380" s="157">
        <f t="shared" ref="I380:I390" si="93">IF(J379="b",0,IF(J380="s",(Surcharge-E380+H380),IF(J380="j",0,IF(J379="e",0,(I379-E380+H380)))))</f>
        <v>0</v>
      </c>
      <c r="J380" s="35" t="s">
        <v>26</v>
      </c>
      <c r="L380" s="99" t="s">
        <v>26</v>
      </c>
    </row>
    <row r="381" spans="1:12" ht="13.8" thickBot="1" x14ac:dyDescent="0.3">
      <c r="A381" s="3" t="s">
        <v>9</v>
      </c>
      <c r="B381" s="67">
        <f>arrears!G236</f>
        <v>0</v>
      </c>
      <c r="C381" s="67">
        <f>arrears!H236</f>
        <v>0</v>
      </c>
      <c r="D381" s="68">
        <f t="shared" ref="D381:D390" si="94">IF(C381&lt;=(G380+B381),C381,IF(C381&lt;=(G380+B381+I380),B381+G380,IF(C381&gt;SUM(G380+B381+I380),(C381-I380),0)))</f>
        <v>0</v>
      </c>
      <c r="E381" s="67">
        <f t="shared" si="91"/>
        <v>0</v>
      </c>
      <c r="F381" s="69">
        <f t="shared" si="92"/>
        <v>0</v>
      </c>
      <c r="G381" s="156">
        <f t="shared" ref="G381:G390" si="95">IF(J380="b",0,IF(J381="b",(G380+F381),IF(J381="s",(($M$6)+F381),IF(J381="j",$M$6,IF(J380="e",0,IF(J381="z",0,(G380+F381)))))))</f>
        <v>0</v>
      </c>
      <c r="H381" s="157">
        <f t="shared" ref="H381:H390" si="96">IF(G381&lt;=0,0,IF(J381="s",0,IF(J381="n",0,IF(J381="e",(G381*$L$379),IF(J381="b",0,IF(J381="j",0,SUM(G381*$L$379)))))))</f>
        <v>0</v>
      </c>
      <c r="I381" s="157">
        <f t="shared" si="93"/>
        <v>0</v>
      </c>
      <c r="L381" s="99" t="s">
        <v>26</v>
      </c>
    </row>
    <row r="382" spans="1:12" ht="13.8" thickBot="1" x14ac:dyDescent="0.3">
      <c r="A382" s="3" t="s">
        <v>10</v>
      </c>
      <c r="B382" s="67">
        <f>arrears!G237</f>
        <v>0</v>
      </c>
      <c r="C382" s="67">
        <f>arrears!H237</f>
        <v>0</v>
      </c>
      <c r="D382" s="68">
        <f t="shared" si="94"/>
        <v>0</v>
      </c>
      <c r="E382" s="67">
        <f t="shared" si="91"/>
        <v>0</v>
      </c>
      <c r="F382" s="69">
        <f t="shared" si="92"/>
        <v>0</v>
      </c>
      <c r="G382" s="156">
        <f t="shared" si="95"/>
        <v>0</v>
      </c>
      <c r="H382" s="157">
        <f t="shared" si="96"/>
        <v>0</v>
      </c>
      <c r="I382" s="157">
        <f t="shared" si="93"/>
        <v>0</v>
      </c>
      <c r="L382" s="99" t="s">
        <v>26</v>
      </c>
    </row>
    <row r="383" spans="1:12" ht="13.8" thickBot="1" x14ac:dyDescent="0.3">
      <c r="A383" s="3" t="s">
        <v>11</v>
      </c>
      <c r="B383" s="67">
        <f>arrears!G238</f>
        <v>0</v>
      </c>
      <c r="C383" s="67">
        <f>arrears!H238</f>
        <v>0</v>
      </c>
      <c r="D383" s="68">
        <f t="shared" si="94"/>
        <v>0</v>
      </c>
      <c r="E383" s="67">
        <f t="shared" si="91"/>
        <v>0</v>
      </c>
      <c r="F383" s="69">
        <f t="shared" si="92"/>
        <v>0</v>
      </c>
      <c r="G383" s="156">
        <f t="shared" si="95"/>
        <v>0</v>
      </c>
      <c r="H383" s="157">
        <f t="shared" si="96"/>
        <v>0</v>
      </c>
      <c r="I383" s="157">
        <f t="shared" si="93"/>
        <v>0</v>
      </c>
      <c r="L383" s="99" t="s">
        <v>26</v>
      </c>
    </row>
    <row r="384" spans="1:12" ht="13.8" thickBot="1" x14ac:dyDescent="0.3">
      <c r="A384" s="3" t="s">
        <v>12</v>
      </c>
      <c r="B384" s="67">
        <f>arrears!G239</f>
        <v>0</v>
      </c>
      <c r="C384" s="67">
        <f>arrears!H239</f>
        <v>0</v>
      </c>
      <c r="D384" s="68">
        <f t="shared" si="94"/>
        <v>0</v>
      </c>
      <c r="E384" s="67">
        <f t="shared" si="91"/>
        <v>0</v>
      </c>
      <c r="F384" s="69">
        <f t="shared" si="92"/>
        <v>0</v>
      </c>
      <c r="G384" s="156">
        <f t="shared" si="95"/>
        <v>0</v>
      </c>
      <c r="H384" s="157">
        <f t="shared" si="96"/>
        <v>0</v>
      </c>
      <c r="I384" s="157">
        <f t="shared" si="93"/>
        <v>0</v>
      </c>
      <c r="L384" s="99" t="s">
        <v>26</v>
      </c>
    </row>
    <row r="385" spans="1:12" ht="13.8" thickBot="1" x14ac:dyDescent="0.3">
      <c r="A385" s="3" t="s">
        <v>13</v>
      </c>
      <c r="B385" s="67">
        <f>arrears!G240</f>
        <v>0</v>
      </c>
      <c r="C385" s="67">
        <f>arrears!H240</f>
        <v>0</v>
      </c>
      <c r="D385" s="68">
        <f t="shared" si="94"/>
        <v>0</v>
      </c>
      <c r="E385" s="67">
        <f t="shared" si="91"/>
        <v>0</v>
      </c>
      <c r="F385" s="69">
        <f t="shared" si="92"/>
        <v>0</v>
      </c>
      <c r="G385" s="156">
        <f t="shared" si="95"/>
        <v>0</v>
      </c>
      <c r="H385" s="157">
        <f t="shared" si="96"/>
        <v>0</v>
      </c>
      <c r="I385" s="157">
        <f t="shared" si="93"/>
        <v>0</v>
      </c>
      <c r="L385" s="99" t="s">
        <v>26</v>
      </c>
    </row>
    <row r="386" spans="1:12" ht="13.8" thickBot="1" x14ac:dyDescent="0.3">
      <c r="A386" s="3" t="s">
        <v>14</v>
      </c>
      <c r="B386" s="67">
        <f>arrears!G241</f>
        <v>0</v>
      </c>
      <c r="C386" s="67">
        <f>arrears!H241</f>
        <v>0</v>
      </c>
      <c r="D386" s="68">
        <f t="shared" si="94"/>
        <v>0</v>
      </c>
      <c r="E386" s="67">
        <f t="shared" si="91"/>
        <v>0</v>
      </c>
      <c r="F386" s="69">
        <f t="shared" si="92"/>
        <v>0</v>
      </c>
      <c r="G386" s="156">
        <f t="shared" si="95"/>
        <v>0</v>
      </c>
      <c r="H386" s="157">
        <f t="shared" si="96"/>
        <v>0</v>
      </c>
      <c r="I386" s="157">
        <f t="shared" si="93"/>
        <v>0</v>
      </c>
      <c r="L386" s="99" t="s">
        <v>26</v>
      </c>
    </row>
    <row r="387" spans="1:12" ht="13.8" thickBot="1" x14ac:dyDescent="0.3">
      <c r="A387" s="3" t="s">
        <v>15</v>
      </c>
      <c r="B387" s="67">
        <f>arrears!G242</f>
        <v>0</v>
      </c>
      <c r="C387" s="67">
        <f>arrears!H242</f>
        <v>0</v>
      </c>
      <c r="D387" s="68">
        <f t="shared" si="94"/>
        <v>0</v>
      </c>
      <c r="E387" s="67">
        <f t="shared" si="91"/>
        <v>0</v>
      </c>
      <c r="F387" s="69">
        <f t="shared" si="92"/>
        <v>0</v>
      </c>
      <c r="G387" s="156">
        <f t="shared" si="95"/>
        <v>0</v>
      </c>
      <c r="H387" s="157">
        <f t="shared" si="96"/>
        <v>0</v>
      </c>
      <c r="I387" s="157">
        <f t="shared" si="93"/>
        <v>0</v>
      </c>
      <c r="L387" s="99" t="s">
        <v>26</v>
      </c>
    </row>
    <row r="388" spans="1:12" ht="13.8" thickBot="1" x14ac:dyDescent="0.3">
      <c r="A388" s="3" t="s">
        <v>16</v>
      </c>
      <c r="B388" s="67">
        <f>arrears!G243</f>
        <v>0</v>
      </c>
      <c r="C388" s="67">
        <f>arrears!H243</f>
        <v>0</v>
      </c>
      <c r="D388" s="68">
        <f t="shared" si="94"/>
        <v>0</v>
      </c>
      <c r="E388" s="67">
        <f t="shared" si="91"/>
        <v>0</v>
      </c>
      <c r="F388" s="69">
        <f t="shared" si="92"/>
        <v>0</v>
      </c>
      <c r="G388" s="156">
        <f t="shared" si="95"/>
        <v>0</v>
      </c>
      <c r="H388" s="157">
        <f t="shared" si="96"/>
        <v>0</v>
      </c>
      <c r="I388" s="157">
        <f t="shared" si="93"/>
        <v>0</v>
      </c>
      <c r="L388" s="99" t="s">
        <v>26</v>
      </c>
    </row>
    <row r="389" spans="1:12" ht="13.8" thickBot="1" x14ac:dyDescent="0.3">
      <c r="A389" s="3" t="s">
        <v>17</v>
      </c>
      <c r="B389" s="67">
        <f>arrears!G244</f>
        <v>0</v>
      </c>
      <c r="C389" s="67">
        <f>arrears!H244</f>
        <v>0</v>
      </c>
      <c r="D389" s="68">
        <f t="shared" si="94"/>
        <v>0</v>
      </c>
      <c r="E389" s="67">
        <f t="shared" si="91"/>
        <v>0</v>
      </c>
      <c r="F389" s="69">
        <f t="shared" si="92"/>
        <v>0</v>
      </c>
      <c r="G389" s="156">
        <f t="shared" si="95"/>
        <v>0</v>
      </c>
      <c r="H389" s="157">
        <f t="shared" si="96"/>
        <v>0</v>
      </c>
      <c r="I389" s="157">
        <f t="shared" si="93"/>
        <v>0</v>
      </c>
      <c r="L389" s="99" t="s">
        <v>26</v>
      </c>
    </row>
    <row r="390" spans="1:12" ht="13.8" thickBot="1" x14ac:dyDescent="0.3">
      <c r="A390" s="3" t="s">
        <v>18</v>
      </c>
      <c r="B390" s="67">
        <f>arrears!G245</f>
        <v>0</v>
      </c>
      <c r="C390" s="67">
        <f>arrears!H245</f>
        <v>0</v>
      </c>
      <c r="D390" s="68">
        <f t="shared" si="94"/>
        <v>0</v>
      </c>
      <c r="E390" s="67">
        <f t="shared" si="91"/>
        <v>0</v>
      </c>
      <c r="F390" s="69">
        <f t="shared" si="92"/>
        <v>0</v>
      </c>
      <c r="G390" s="156">
        <f t="shared" si="95"/>
        <v>0</v>
      </c>
      <c r="H390" s="157">
        <f t="shared" si="96"/>
        <v>0</v>
      </c>
      <c r="I390" s="157">
        <f t="shared" si="93"/>
        <v>0</v>
      </c>
      <c r="J390" s="35" t="s">
        <v>26</v>
      </c>
      <c r="L390" s="99" t="s">
        <v>26</v>
      </c>
    </row>
    <row r="391" spans="1:12" ht="13.8" thickBot="1" x14ac:dyDescent="0.3">
      <c r="A391" s="7" t="s">
        <v>19</v>
      </c>
      <c r="B391" s="72">
        <f>SUM(B379:B390)</f>
        <v>0</v>
      </c>
      <c r="C391" s="72">
        <f>SUM(C379:C390)</f>
        <v>0</v>
      </c>
      <c r="D391" s="72">
        <f>SUM(D379:D390)</f>
        <v>0</v>
      </c>
      <c r="E391" s="73">
        <f>SUM(E379:E390)</f>
        <v>0</v>
      </c>
      <c r="F391" s="73">
        <f>SUM(F379:F390)</f>
        <v>0</v>
      </c>
      <c r="G391" s="71" t="s">
        <v>26</v>
      </c>
      <c r="H391" s="74">
        <f xml:space="preserve"> SUM(H379:H390)</f>
        <v>0</v>
      </c>
      <c r="I391" s="75"/>
    </row>
    <row r="392" spans="1:12" x14ac:dyDescent="0.25">
      <c r="A392" s="181">
        <f>arrears!F247</f>
        <v>0</v>
      </c>
    </row>
    <row r="393" spans="1:12" x14ac:dyDescent="0.25">
      <c r="A393" s="181">
        <f>arrears!F248</f>
        <v>0</v>
      </c>
    </row>
    <row r="394" spans="1:12" x14ac:dyDescent="0.25">
      <c r="A394" s="181">
        <f>arrears!F249</f>
        <v>0</v>
      </c>
    </row>
    <row r="395" spans="1:12" ht="13.8" thickBot="1" x14ac:dyDescent="0.3">
      <c r="A395" s="181">
        <f>arrears!F250</f>
        <v>0</v>
      </c>
    </row>
    <row r="396" spans="1:12" ht="13.8" thickBot="1" x14ac:dyDescent="0.3">
      <c r="A396" s="4" t="s">
        <v>2</v>
      </c>
      <c r="B396" s="66" t="str">
        <f>arrears!B262</f>
        <v xml:space="preserve"> </v>
      </c>
      <c r="C396" s="12" t="s">
        <v>35</v>
      </c>
      <c r="D396" s="12" t="s">
        <v>5</v>
      </c>
      <c r="E396" s="12" t="s">
        <v>5</v>
      </c>
      <c r="F396" s="12" t="s">
        <v>46</v>
      </c>
      <c r="G396" s="12" t="s">
        <v>29</v>
      </c>
      <c r="H396" s="14" t="s">
        <v>27</v>
      </c>
      <c r="I396" s="14" t="s">
        <v>29</v>
      </c>
      <c r="L396" s="215" t="s">
        <v>31</v>
      </c>
    </row>
    <row r="397" spans="1:12" ht="13.8" thickBot="1" x14ac:dyDescent="0.3">
      <c r="A397" s="4" t="s">
        <v>3</v>
      </c>
      <c r="B397" s="4" t="s">
        <v>4</v>
      </c>
      <c r="C397" s="13" t="s">
        <v>34</v>
      </c>
      <c r="D397" s="13" t="s">
        <v>30</v>
      </c>
      <c r="E397" s="13" t="s">
        <v>27</v>
      </c>
      <c r="F397" s="13" t="s">
        <v>47</v>
      </c>
      <c r="G397" s="13" t="s">
        <v>33</v>
      </c>
      <c r="H397" s="15" t="s">
        <v>34</v>
      </c>
      <c r="I397" s="15" t="s">
        <v>31</v>
      </c>
      <c r="L397" s="216" t="s">
        <v>124</v>
      </c>
    </row>
    <row r="398" spans="1:12" ht="13.8" thickBot="1" x14ac:dyDescent="0.3">
      <c r="A398" s="3" t="s">
        <v>7</v>
      </c>
      <c r="B398" s="67">
        <f>arrears!B264</f>
        <v>0</v>
      </c>
      <c r="C398" s="67">
        <f>arrears!C264</f>
        <v>0</v>
      </c>
      <c r="D398" s="68">
        <f>IF(C398&lt;=(G390+B398),C398,IF(C398&lt;=SUM(G390+B398+I390),B398+G390,IF(C398&gt;=SUM(G390+B398+I390),(C398-I390),0)))</f>
        <v>0</v>
      </c>
      <c r="E398" s="67">
        <f t="shared" ref="E398:E409" si="97">IF(C398=D398,0,IF(C398&lt;&gt;D398,(C398-D398)))</f>
        <v>0</v>
      </c>
      <c r="F398" s="69">
        <f t="shared" ref="F398:F409" si="98">B398-D398</f>
        <v>0</v>
      </c>
      <c r="G398" s="156">
        <f>IF(J390="b",0,IF(J398="b",(G390+F398),IF(J398="s",(($M$6)+F398),IF(J398="j",$M$6,IF(J390="e",0,IF(J398="z",0,(G390+F398)))))))</f>
        <v>0</v>
      </c>
      <c r="H398" s="157">
        <f>IF(G398&lt;=0,0,IF(J398="s",0,IF(J398="n",0,IF(J398="e",(G398*$L$398),IF(J398="b",0,IF(J398="j",0,SUM(G398*$L$398)))))))</f>
        <v>0</v>
      </c>
      <c r="I398" s="157">
        <f>IF(J390="b",0,IF(J398="s",(Surcharge-E398+H398),IF(J398="j",0,IF(J390="e",0,(I390-E398+H398)))))</f>
        <v>0</v>
      </c>
      <c r="J398" s="35" t="s">
        <v>26</v>
      </c>
      <c r="L398" s="99">
        <f>IF(B396&lt;2012,0.01,0.005)</f>
        <v>5.0000000000000001E-3</v>
      </c>
    </row>
    <row r="399" spans="1:12" ht="13.8" thickBot="1" x14ac:dyDescent="0.3">
      <c r="A399" s="3" t="s">
        <v>8</v>
      </c>
      <c r="B399" s="67">
        <f>arrears!B265</f>
        <v>0</v>
      </c>
      <c r="C399" s="67">
        <f>arrears!C265</f>
        <v>0</v>
      </c>
      <c r="D399" s="68">
        <f>IF(C399&lt;=(G398+B399),C399,IF(C399&lt;=(G398+B399+I398),B399+G398,IF(C399&gt;SUM(G398+B399+I398),(C399-I398),0)))</f>
        <v>0</v>
      </c>
      <c r="E399" s="67">
        <f t="shared" si="97"/>
        <v>0</v>
      </c>
      <c r="F399" s="69">
        <f t="shared" si="98"/>
        <v>0</v>
      </c>
      <c r="G399" s="156">
        <f>IF(J398="b",0,IF(J399="b",(G398+F399),IF(J399="s",(($M$6)+F399),IF(J399="j",$M$6,IF(J398="e",0,IF(J399="z",0,G398+F399))))))</f>
        <v>0</v>
      </c>
      <c r="H399" s="157">
        <f>IF(G399&lt;=0,0,IF(J399="s",0,IF(J399="n",0,IF(J399="e",(G399*$L$398),IF(J399="b",0,IF(J399="j",0,SUM(G399*$L$398)))))))</f>
        <v>0</v>
      </c>
      <c r="I399" s="157">
        <f t="shared" ref="I399:I409" si="99">IF(J398="b",0,IF(J399="s",(Surcharge-E399+H399),IF(J399="j",0,IF(J398="e",0,(I398-E399+H399)))))</f>
        <v>0</v>
      </c>
      <c r="J399" s="35" t="s">
        <v>26</v>
      </c>
      <c r="L399" s="99" t="s">
        <v>26</v>
      </c>
    </row>
    <row r="400" spans="1:12" ht="13.8" thickBot="1" x14ac:dyDescent="0.3">
      <c r="A400" s="3" t="s">
        <v>9</v>
      </c>
      <c r="B400" s="67">
        <f>arrears!B266</f>
        <v>0</v>
      </c>
      <c r="C400" s="67">
        <f>arrears!C266</f>
        <v>0</v>
      </c>
      <c r="D400" s="68">
        <f t="shared" ref="D400:D409" si="100">IF(C400&lt;=(G399+B400),C400,IF(C400&lt;=(G399+B400+I399),B400+G399,IF(C400&gt;SUM(G399+B400+I399),(C400-I399),0)))</f>
        <v>0</v>
      </c>
      <c r="E400" s="67">
        <f t="shared" si="97"/>
        <v>0</v>
      </c>
      <c r="F400" s="69">
        <f t="shared" si="98"/>
        <v>0</v>
      </c>
      <c r="G400" s="156">
        <f t="shared" ref="G400:G409" si="101">IF(J399="b",0,IF(J400="b",(G399+F400),IF(J400="s",(($M$6)+F400),IF(J400="j",$M$6,IF(J399="e",0,IF(J400="z",0,G399+F400))))))</f>
        <v>0</v>
      </c>
      <c r="H400" s="157">
        <f t="shared" ref="H400:H409" si="102">IF(G400&lt;=0,0,IF(J400="s",0,IF(J400="n",0,IF(J400="e",(G400*$L$398),IF(J400="b",0,IF(J400="j",0,SUM(G400*$L$398)))))))</f>
        <v>0</v>
      </c>
      <c r="I400" s="157">
        <f t="shared" si="99"/>
        <v>0</v>
      </c>
      <c r="L400" s="99" t="s">
        <v>26</v>
      </c>
    </row>
    <row r="401" spans="1:12" ht="13.8" thickBot="1" x14ac:dyDescent="0.3">
      <c r="A401" s="3" t="s">
        <v>10</v>
      </c>
      <c r="B401" s="67">
        <f>arrears!B267</f>
        <v>0</v>
      </c>
      <c r="C401" s="67">
        <f>arrears!C267</f>
        <v>0</v>
      </c>
      <c r="D401" s="68">
        <f t="shared" si="100"/>
        <v>0</v>
      </c>
      <c r="E401" s="67">
        <f t="shared" si="97"/>
        <v>0</v>
      </c>
      <c r="F401" s="69">
        <f t="shared" si="98"/>
        <v>0</v>
      </c>
      <c r="G401" s="156">
        <f t="shared" si="101"/>
        <v>0</v>
      </c>
      <c r="H401" s="157">
        <f t="shared" si="102"/>
        <v>0</v>
      </c>
      <c r="I401" s="157">
        <f t="shared" si="99"/>
        <v>0</v>
      </c>
      <c r="L401" s="99" t="s">
        <v>26</v>
      </c>
    </row>
    <row r="402" spans="1:12" ht="13.8" thickBot="1" x14ac:dyDescent="0.3">
      <c r="A402" s="3" t="s">
        <v>11</v>
      </c>
      <c r="B402" s="67">
        <f>arrears!B268</f>
        <v>0</v>
      </c>
      <c r="C402" s="67">
        <f>arrears!C268</f>
        <v>0</v>
      </c>
      <c r="D402" s="68">
        <f t="shared" si="100"/>
        <v>0</v>
      </c>
      <c r="E402" s="67">
        <f t="shared" si="97"/>
        <v>0</v>
      </c>
      <c r="F402" s="69">
        <f t="shared" si="98"/>
        <v>0</v>
      </c>
      <c r="G402" s="156">
        <f t="shared" si="101"/>
        <v>0</v>
      </c>
      <c r="H402" s="157">
        <f t="shared" si="102"/>
        <v>0</v>
      </c>
      <c r="I402" s="157">
        <f t="shared" si="99"/>
        <v>0</v>
      </c>
      <c r="L402" s="99" t="s">
        <v>26</v>
      </c>
    </row>
    <row r="403" spans="1:12" ht="13.8" thickBot="1" x14ac:dyDescent="0.3">
      <c r="A403" s="3" t="s">
        <v>12</v>
      </c>
      <c r="B403" s="67">
        <f>arrears!B269</f>
        <v>0</v>
      </c>
      <c r="C403" s="67">
        <f>arrears!C269</f>
        <v>0</v>
      </c>
      <c r="D403" s="68">
        <f t="shared" si="100"/>
        <v>0</v>
      </c>
      <c r="E403" s="67">
        <f t="shared" si="97"/>
        <v>0</v>
      </c>
      <c r="F403" s="69">
        <f t="shared" si="98"/>
        <v>0</v>
      </c>
      <c r="G403" s="156">
        <f t="shared" si="101"/>
        <v>0</v>
      </c>
      <c r="H403" s="157">
        <f t="shared" si="102"/>
        <v>0</v>
      </c>
      <c r="I403" s="157">
        <f t="shared" si="99"/>
        <v>0</v>
      </c>
      <c r="L403" s="99" t="s">
        <v>26</v>
      </c>
    </row>
    <row r="404" spans="1:12" ht="13.8" thickBot="1" x14ac:dyDescent="0.3">
      <c r="A404" s="3" t="s">
        <v>13</v>
      </c>
      <c r="B404" s="67">
        <f>arrears!B270</f>
        <v>0</v>
      </c>
      <c r="C404" s="67">
        <f>arrears!C270</f>
        <v>0</v>
      </c>
      <c r="D404" s="68">
        <f t="shared" si="100"/>
        <v>0</v>
      </c>
      <c r="E404" s="67">
        <f t="shared" si="97"/>
        <v>0</v>
      </c>
      <c r="F404" s="69">
        <f t="shared" si="98"/>
        <v>0</v>
      </c>
      <c r="G404" s="156">
        <f t="shared" si="101"/>
        <v>0</v>
      </c>
      <c r="H404" s="157">
        <f t="shared" si="102"/>
        <v>0</v>
      </c>
      <c r="I404" s="157">
        <f t="shared" si="99"/>
        <v>0</v>
      </c>
      <c r="L404" s="99" t="s">
        <v>26</v>
      </c>
    </row>
    <row r="405" spans="1:12" ht="13.8" thickBot="1" x14ac:dyDescent="0.3">
      <c r="A405" s="3" t="s">
        <v>14</v>
      </c>
      <c r="B405" s="67">
        <f>arrears!B271</f>
        <v>0</v>
      </c>
      <c r="C405" s="67">
        <f>arrears!C271</f>
        <v>0</v>
      </c>
      <c r="D405" s="68">
        <f t="shared" si="100"/>
        <v>0</v>
      </c>
      <c r="E405" s="67">
        <f t="shared" si="97"/>
        <v>0</v>
      </c>
      <c r="F405" s="69">
        <f t="shared" si="98"/>
        <v>0</v>
      </c>
      <c r="G405" s="156">
        <f t="shared" si="101"/>
        <v>0</v>
      </c>
      <c r="H405" s="157">
        <f t="shared" si="102"/>
        <v>0</v>
      </c>
      <c r="I405" s="157">
        <f t="shared" si="99"/>
        <v>0</v>
      </c>
      <c r="L405" s="99" t="s">
        <v>26</v>
      </c>
    </row>
    <row r="406" spans="1:12" ht="13.8" thickBot="1" x14ac:dyDescent="0.3">
      <c r="A406" s="3" t="s">
        <v>15</v>
      </c>
      <c r="B406" s="67">
        <f>arrears!B272</f>
        <v>0</v>
      </c>
      <c r="C406" s="67">
        <f>arrears!C272</f>
        <v>0</v>
      </c>
      <c r="D406" s="68">
        <f t="shared" si="100"/>
        <v>0</v>
      </c>
      <c r="E406" s="67">
        <f t="shared" si="97"/>
        <v>0</v>
      </c>
      <c r="F406" s="69">
        <f t="shared" si="98"/>
        <v>0</v>
      </c>
      <c r="G406" s="156">
        <f t="shared" si="101"/>
        <v>0</v>
      </c>
      <c r="H406" s="157">
        <f t="shared" si="102"/>
        <v>0</v>
      </c>
      <c r="I406" s="157">
        <f t="shared" si="99"/>
        <v>0</v>
      </c>
      <c r="L406" s="99" t="s">
        <v>26</v>
      </c>
    </row>
    <row r="407" spans="1:12" ht="13.8" thickBot="1" x14ac:dyDescent="0.3">
      <c r="A407" s="3" t="s">
        <v>16</v>
      </c>
      <c r="B407" s="67">
        <f>arrears!B273</f>
        <v>0</v>
      </c>
      <c r="C407" s="67">
        <f>arrears!C273</f>
        <v>0</v>
      </c>
      <c r="D407" s="68">
        <f t="shared" si="100"/>
        <v>0</v>
      </c>
      <c r="E407" s="67">
        <f t="shared" si="97"/>
        <v>0</v>
      </c>
      <c r="F407" s="69">
        <f t="shared" si="98"/>
        <v>0</v>
      </c>
      <c r="G407" s="156">
        <f t="shared" si="101"/>
        <v>0</v>
      </c>
      <c r="H407" s="157">
        <f t="shared" si="102"/>
        <v>0</v>
      </c>
      <c r="I407" s="157">
        <f t="shared" si="99"/>
        <v>0</v>
      </c>
      <c r="L407" s="99" t="s">
        <v>26</v>
      </c>
    </row>
    <row r="408" spans="1:12" ht="13.8" thickBot="1" x14ac:dyDescent="0.3">
      <c r="A408" s="3" t="s">
        <v>17</v>
      </c>
      <c r="B408" s="67">
        <f>arrears!B274</f>
        <v>0</v>
      </c>
      <c r="C408" s="67">
        <f>arrears!C274</f>
        <v>0</v>
      </c>
      <c r="D408" s="68">
        <f t="shared" si="100"/>
        <v>0</v>
      </c>
      <c r="E408" s="67">
        <f t="shared" si="97"/>
        <v>0</v>
      </c>
      <c r="F408" s="69">
        <f t="shared" si="98"/>
        <v>0</v>
      </c>
      <c r="G408" s="156">
        <f t="shared" si="101"/>
        <v>0</v>
      </c>
      <c r="H408" s="157">
        <f t="shared" si="102"/>
        <v>0</v>
      </c>
      <c r="I408" s="157">
        <f t="shared" si="99"/>
        <v>0</v>
      </c>
      <c r="L408" s="99" t="s">
        <v>36</v>
      </c>
    </row>
    <row r="409" spans="1:12" ht="13.8" thickBot="1" x14ac:dyDescent="0.3">
      <c r="A409" s="3" t="s">
        <v>18</v>
      </c>
      <c r="B409" s="67">
        <f>arrears!B275</f>
        <v>0</v>
      </c>
      <c r="C409" s="67">
        <f>arrears!C275</f>
        <v>0</v>
      </c>
      <c r="D409" s="68">
        <f t="shared" si="100"/>
        <v>0</v>
      </c>
      <c r="E409" s="67">
        <f t="shared" si="97"/>
        <v>0</v>
      </c>
      <c r="F409" s="69">
        <f t="shared" si="98"/>
        <v>0</v>
      </c>
      <c r="G409" s="156">
        <f t="shared" si="101"/>
        <v>0</v>
      </c>
      <c r="H409" s="157">
        <f t="shared" si="102"/>
        <v>0</v>
      </c>
      <c r="I409" s="157">
        <f t="shared" si="99"/>
        <v>0</v>
      </c>
      <c r="J409" s="35" t="s">
        <v>26</v>
      </c>
      <c r="L409" s="99" t="s">
        <v>36</v>
      </c>
    </row>
    <row r="410" spans="1:12" ht="13.8" thickBot="1" x14ac:dyDescent="0.3">
      <c r="A410" s="7" t="s">
        <v>19</v>
      </c>
      <c r="B410" s="72">
        <f>SUM(B398:B409)</f>
        <v>0</v>
      </c>
      <c r="C410" s="72">
        <f>SUM(C398:C409)</f>
        <v>0</v>
      </c>
      <c r="D410" s="72">
        <f>SUM(D398:D409)</f>
        <v>0</v>
      </c>
      <c r="E410" s="73">
        <f>SUM(E398:E409)</f>
        <v>0</v>
      </c>
      <c r="F410" s="73">
        <f>SUM(F398:F409)</f>
        <v>0</v>
      </c>
      <c r="G410" s="71" t="s">
        <v>26</v>
      </c>
      <c r="H410" s="74">
        <f xml:space="preserve"> SUM(H398:H409)</f>
        <v>0</v>
      </c>
      <c r="I410" s="75"/>
    </row>
    <row r="411" spans="1:12" x14ac:dyDescent="0.25">
      <c r="A411" s="207">
        <f>arrears!A277</f>
        <v>0</v>
      </c>
    </row>
    <row r="412" spans="1:12" x14ac:dyDescent="0.25">
      <c r="A412" s="207">
        <f>arrears!A278</f>
        <v>0</v>
      </c>
    </row>
    <row r="413" spans="1:12" x14ac:dyDescent="0.25">
      <c r="A413" s="207">
        <f>arrears!A279</f>
        <v>0</v>
      </c>
    </row>
    <row r="414" spans="1:12" ht="13.8" thickBot="1" x14ac:dyDescent="0.3">
      <c r="A414" s="207">
        <f>arrears!A280</f>
        <v>0</v>
      </c>
    </row>
    <row r="415" spans="1:12" ht="13.8" thickBot="1" x14ac:dyDescent="0.3">
      <c r="A415" s="4" t="s">
        <v>2</v>
      </c>
      <c r="B415" s="66" t="str">
        <f>arrears!G262</f>
        <v xml:space="preserve"> </v>
      </c>
      <c r="C415" s="12" t="s">
        <v>35</v>
      </c>
      <c r="D415" s="12" t="s">
        <v>5</v>
      </c>
      <c r="E415" s="12" t="s">
        <v>5</v>
      </c>
      <c r="F415" s="12" t="s">
        <v>46</v>
      </c>
      <c r="G415" s="12" t="s">
        <v>29</v>
      </c>
      <c r="H415" s="14" t="s">
        <v>27</v>
      </c>
      <c r="I415" s="14" t="s">
        <v>29</v>
      </c>
      <c r="L415" s="215" t="s">
        <v>31</v>
      </c>
    </row>
    <row r="416" spans="1:12" ht="13.8" thickBot="1" x14ac:dyDescent="0.3">
      <c r="A416" s="4" t="s">
        <v>3</v>
      </c>
      <c r="B416" s="4" t="s">
        <v>4</v>
      </c>
      <c r="C416" s="13" t="s">
        <v>34</v>
      </c>
      <c r="D416" s="13" t="s">
        <v>30</v>
      </c>
      <c r="E416" s="13" t="s">
        <v>27</v>
      </c>
      <c r="F416" s="13" t="s">
        <v>47</v>
      </c>
      <c r="G416" s="13" t="s">
        <v>33</v>
      </c>
      <c r="H416" s="15" t="s">
        <v>34</v>
      </c>
      <c r="I416" s="15" t="s">
        <v>31</v>
      </c>
      <c r="L416" s="216" t="s">
        <v>124</v>
      </c>
    </row>
    <row r="417" spans="1:12" ht="13.8" thickBot="1" x14ac:dyDescent="0.3">
      <c r="A417" s="3" t="s">
        <v>7</v>
      </c>
      <c r="B417" s="67">
        <f>arrears!G264</f>
        <v>0</v>
      </c>
      <c r="C417" s="67">
        <f>arrears!H264</f>
        <v>0</v>
      </c>
      <c r="D417" s="68">
        <f>IF(C417&lt;=(G409+B417),C417,IF(C417&lt;=SUM(G409+B417+I409),B417+G409,IF(C417&gt;=SUM(G409+B417+I409),(C417-I409),0)))</f>
        <v>0</v>
      </c>
      <c r="E417" s="67">
        <f t="shared" ref="E417:E428" si="103">IF(C417=D417,0,IF(C417&lt;&gt;D417,(C417-D417)))</f>
        <v>0</v>
      </c>
      <c r="F417" s="69">
        <f t="shared" ref="F417:F428" si="104">B417-D417</f>
        <v>0</v>
      </c>
      <c r="G417" s="156">
        <f>IF(J409="b",0,IF(J417="b",(G409+F417),IF(J417="s",(($M$6)+F417),IF(J417="j",$M$6,IF(J409="e",0,IF(J417="z",0,(G409+F417)))))))</f>
        <v>0</v>
      </c>
      <c r="H417" s="157">
        <f>IF(G417&lt;=0,0,IF(J417="s",0,IF(J417="n",0,IF(J417="e",(G417*$L$417),IF(J417="b",0,IF(J417="j",0,SUM(G417*$L$417)))))))</f>
        <v>0</v>
      </c>
      <c r="I417" s="157">
        <f>IF(J409="b",0,IF(J417="s",(Surcharge-E417+H417),IF(J417="j",0,IF(J409="e",0,(I409-E417+H417)))))</f>
        <v>0</v>
      </c>
      <c r="J417" s="35" t="s">
        <v>26</v>
      </c>
      <c r="L417" s="99">
        <f>IF(B415&lt;2012,0.01,0.005)</f>
        <v>5.0000000000000001E-3</v>
      </c>
    </row>
    <row r="418" spans="1:12" ht="13.8" thickBot="1" x14ac:dyDescent="0.3">
      <c r="A418" s="3" t="s">
        <v>8</v>
      </c>
      <c r="B418" s="67">
        <f>arrears!G265</f>
        <v>0</v>
      </c>
      <c r="C418" s="67">
        <f>arrears!H265</f>
        <v>0</v>
      </c>
      <c r="D418" s="68">
        <f>IF(C418&lt;=(G417+B418),C418,IF(C418&lt;=(G417+B418+I417),B418+G417,IF(C418&gt;SUM(G417+B418+I417),(C418-I417),0)))</f>
        <v>0</v>
      </c>
      <c r="E418" s="67">
        <f t="shared" si="103"/>
        <v>0</v>
      </c>
      <c r="F418" s="69">
        <f t="shared" si="104"/>
        <v>0</v>
      </c>
      <c r="G418" s="156">
        <f>IF(J417="b",0,IF(J418="b",(G417+F418),IF(J418="s",(($M$6)+F418),IF(J418="j",$M$6,IF(J417="e",0,IF(J418="z",0,(G417+F418)))))))</f>
        <v>0</v>
      </c>
      <c r="H418" s="157">
        <f>IF(G418&lt;=0,0,IF(J418="s",0,IF(J418="n",0,IF(J418="e",(G418*$L$417),IF(J418="b",0,IF(J418="j",0,SUM(G418*$L$417)))))))</f>
        <v>0</v>
      </c>
      <c r="I418" s="157">
        <f t="shared" ref="I418:I428" si="105">IF(J417="b",0,IF(J418="s",(Surcharge-E418+H418),IF(J418="j",0,IF(J417="e",0,(I417-E418+H418)))))</f>
        <v>0</v>
      </c>
      <c r="J418" s="35" t="s">
        <v>26</v>
      </c>
      <c r="L418" s="99" t="s">
        <v>26</v>
      </c>
    </row>
    <row r="419" spans="1:12" ht="13.8" thickBot="1" x14ac:dyDescent="0.3">
      <c r="A419" s="3" t="s">
        <v>9</v>
      </c>
      <c r="B419" s="67">
        <f>arrears!G266</f>
        <v>0</v>
      </c>
      <c r="C419" s="67">
        <f>arrears!H266</f>
        <v>0</v>
      </c>
      <c r="D419" s="68">
        <f t="shared" ref="D419:D428" si="106">IF(C419&lt;=(G418+B419),C419,IF(C419&lt;=(G418+B419+I418),B419+G418,IF(C419&gt;SUM(G418+B419+I418),(C419-I418),0)))</f>
        <v>0</v>
      </c>
      <c r="E419" s="67">
        <f t="shared" si="103"/>
        <v>0</v>
      </c>
      <c r="F419" s="69">
        <f t="shared" si="104"/>
        <v>0</v>
      </c>
      <c r="G419" s="156">
        <f t="shared" ref="G419:G428" si="107">IF(J418="b",0,IF(J419="b",(G418+F419),IF(J419="s",(($M$6)+F419),IF(J419="j",$M$6,IF(J418="e",0,IF(J419="z",0,(G418+F419)))))))</f>
        <v>0</v>
      </c>
      <c r="H419" s="157">
        <f t="shared" ref="H419:H428" si="108">IF(G419&lt;=0,0,IF(J419="s",0,IF(J419="n",0,IF(J419="e",(G419*$L$417),IF(J419="b",0,IF(J419="j",0,SUM(G419*$L$417)))))))</f>
        <v>0</v>
      </c>
      <c r="I419" s="157">
        <f t="shared" si="105"/>
        <v>0</v>
      </c>
      <c r="L419" s="99" t="s">
        <v>26</v>
      </c>
    </row>
    <row r="420" spans="1:12" ht="13.8" thickBot="1" x14ac:dyDescent="0.3">
      <c r="A420" s="3" t="s">
        <v>10</v>
      </c>
      <c r="B420" s="67">
        <f>arrears!G267</f>
        <v>0</v>
      </c>
      <c r="C420" s="67">
        <f>arrears!H267</f>
        <v>0</v>
      </c>
      <c r="D420" s="68">
        <f t="shared" si="106"/>
        <v>0</v>
      </c>
      <c r="E420" s="67">
        <f t="shared" si="103"/>
        <v>0</v>
      </c>
      <c r="F420" s="69">
        <f t="shared" si="104"/>
        <v>0</v>
      </c>
      <c r="G420" s="156">
        <f t="shared" si="107"/>
        <v>0</v>
      </c>
      <c r="H420" s="157">
        <f t="shared" si="108"/>
        <v>0</v>
      </c>
      <c r="I420" s="157">
        <f t="shared" si="105"/>
        <v>0</v>
      </c>
      <c r="L420" s="99" t="s">
        <v>26</v>
      </c>
    </row>
    <row r="421" spans="1:12" ht="13.8" thickBot="1" x14ac:dyDescent="0.3">
      <c r="A421" s="3" t="s">
        <v>11</v>
      </c>
      <c r="B421" s="67">
        <f>arrears!G268</f>
        <v>0</v>
      </c>
      <c r="C421" s="67">
        <f>arrears!H268</f>
        <v>0</v>
      </c>
      <c r="D421" s="68">
        <f t="shared" si="106"/>
        <v>0</v>
      </c>
      <c r="E421" s="67">
        <f t="shared" si="103"/>
        <v>0</v>
      </c>
      <c r="F421" s="69">
        <f t="shared" si="104"/>
        <v>0</v>
      </c>
      <c r="G421" s="156">
        <f t="shared" si="107"/>
        <v>0</v>
      </c>
      <c r="H421" s="157">
        <f t="shared" si="108"/>
        <v>0</v>
      </c>
      <c r="I421" s="157">
        <f t="shared" si="105"/>
        <v>0</v>
      </c>
      <c r="L421" s="99" t="s">
        <v>26</v>
      </c>
    </row>
    <row r="422" spans="1:12" ht="13.8" thickBot="1" x14ac:dyDescent="0.3">
      <c r="A422" s="3" t="s">
        <v>12</v>
      </c>
      <c r="B422" s="67">
        <f>arrears!G269</f>
        <v>0</v>
      </c>
      <c r="C422" s="67">
        <f>arrears!H269</f>
        <v>0</v>
      </c>
      <c r="D422" s="68">
        <f t="shared" si="106"/>
        <v>0</v>
      </c>
      <c r="E422" s="67">
        <f t="shared" si="103"/>
        <v>0</v>
      </c>
      <c r="F422" s="69">
        <f t="shared" si="104"/>
        <v>0</v>
      </c>
      <c r="G422" s="156">
        <f t="shared" si="107"/>
        <v>0</v>
      </c>
      <c r="H422" s="157">
        <f t="shared" si="108"/>
        <v>0</v>
      </c>
      <c r="I422" s="157">
        <f t="shared" si="105"/>
        <v>0</v>
      </c>
      <c r="L422" s="99" t="s">
        <v>26</v>
      </c>
    </row>
    <row r="423" spans="1:12" ht="13.8" thickBot="1" x14ac:dyDescent="0.3">
      <c r="A423" s="3" t="s">
        <v>13</v>
      </c>
      <c r="B423" s="67">
        <f>arrears!G270</f>
        <v>0</v>
      </c>
      <c r="C423" s="67">
        <f>arrears!H270</f>
        <v>0</v>
      </c>
      <c r="D423" s="68">
        <f t="shared" si="106"/>
        <v>0</v>
      </c>
      <c r="E423" s="67">
        <f t="shared" si="103"/>
        <v>0</v>
      </c>
      <c r="F423" s="69">
        <f t="shared" si="104"/>
        <v>0</v>
      </c>
      <c r="G423" s="156">
        <f t="shared" si="107"/>
        <v>0</v>
      </c>
      <c r="H423" s="157">
        <f t="shared" si="108"/>
        <v>0</v>
      </c>
      <c r="I423" s="157">
        <f t="shared" si="105"/>
        <v>0</v>
      </c>
      <c r="L423" s="99" t="s">
        <v>26</v>
      </c>
    </row>
    <row r="424" spans="1:12" ht="13.8" thickBot="1" x14ac:dyDescent="0.3">
      <c r="A424" s="3" t="s">
        <v>14</v>
      </c>
      <c r="B424" s="67">
        <f>arrears!G271</f>
        <v>0</v>
      </c>
      <c r="C424" s="67">
        <f>arrears!H271</f>
        <v>0</v>
      </c>
      <c r="D424" s="68">
        <f t="shared" si="106"/>
        <v>0</v>
      </c>
      <c r="E424" s="67">
        <f t="shared" si="103"/>
        <v>0</v>
      </c>
      <c r="F424" s="69">
        <f t="shared" si="104"/>
        <v>0</v>
      </c>
      <c r="G424" s="156">
        <f t="shared" si="107"/>
        <v>0</v>
      </c>
      <c r="H424" s="157">
        <f t="shared" si="108"/>
        <v>0</v>
      </c>
      <c r="I424" s="157">
        <f t="shared" si="105"/>
        <v>0</v>
      </c>
      <c r="L424" s="99" t="s">
        <v>26</v>
      </c>
    </row>
    <row r="425" spans="1:12" ht="13.8" thickBot="1" x14ac:dyDescent="0.3">
      <c r="A425" s="3" t="s">
        <v>15</v>
      </c>
      <c r="B425" s="67">
        <f>arrears!G272</f>
        <v>0</v>
      </c>
      <c r="C425" s="67">
        <f>arrears!H272</f>
        <v>0</v>
      </c>
      <c r="D425" s="68">
        <f t="shared" si="106"/>
        <v>0</v>
      </c>
      <c r="E425" s="67">
        <f t="shared" si="103"/>
        <v>0</v>
      </c>
      <c r="F425" s="69">
        <f t="shared" si="104"/>
        <v>0</v>
      </c>
      <c r="G425" s="156">
        <f t="shared" si="107"/>
        <v>0</v>
      </c>
      <c r="H425" s="157">
        <f t="shared" si="108"/>
        <v>0</v>
      </c>
      <c r="I425" s="157">
        <f t="shared" si="105"/>
        <v>0</v>
      </c>
      <c r="L425" s="99" t="s">
        <v>26</v>
      </c>
    </row>
    <row r="426" spans="1:12" ht="13.8" thickBot="1" x14ac:dyDescent="0.3">
      <c r="A426" s="3" t="s">
        <v>16</v>
      </c>
      <c r="B426" s="67">
        <f>arrears!G273</f>
        <v>0</v>
      </c>
      <c r="C426" s="67">
        <f>arrears!H273</f>
        <v>0</v>
      </c>
      <c r="D426" s="68">
        <f t="shared" si="106"/>
        <v>0</v>
      </c>
      <c r="E426" s="67">
        <f t="shared" si="103"/>
        <v>0</v>
      </c>
      <c r="F426" s="69">
        <f t="shared" si="104"/>
        <v>0</v>
      </c>
      <c r="G426" s="156">
        <f t="shared" si="107"/>
        <v>0</v>
      </c>
      <c r="H426" s="157">
        <f t="shared" si="108"/>
        <v>0</v>
      </c>
      <c r="I426" s="157">
        <f t="shared" si="105"/>
        <v>0</v>
      </c>
      <c r="L426" s="99" t="s">
        <v>26</v>
      </c>
    </row>
    <row r="427" spans="1:12" ht="13.8" thickBot="1" x14ac:dyDescent="0.3">
      <c r="A427" s="3" t="s">
        <v>17</v>
      </c>
      <c r="B427" s="67">
        <f>arrears!G274</f>
        <v>0</v>
      </c>
      <c r="C427" s="67">
        <f>arrears!H274</f>
        <v>0</v>
      </c>
      <c r="D427" s="68">
        <f t="shared" si="106"/>
        <v>0</v>
      </c>
      <c r="E427" s="67">
        <f t="shared" si="103"/>
        <v>0</v>
      </c>
      <c r="F427" s="69">
        <f t="shared" si="104"/>
        <v>0</v>
      </c>
      <c r="G427" s="156">
        <f t="shared" si="107"/>
        <v>0</v>
      </c>
      <c r="H427" s="157">
        <f t="shared" si="108"/>
        <v>0</v>
      </c>
      <c r="I427" s="157">
        <f t="shared" si="105"/>
        <v>0</v>
      </c>
      <c r="L427" s="99" t="s">
        <v>26</v>
      </c>
    </row>
    <row r="428" spans="1:12" ht="13.8" thickBot="1" x14ac:dyDescent="0.3">
      <c r="A428" s="3" t="s">
        <v>18</v>
      </c>
      <c r="B428" s="67">
        <f>arrears!G275</f>
        <v>0</v>
      </c>
      <c r="C428" s="67">
        <f>arrears!H275</f>
        <v>0</v>
      </c>
      <c r="D428" s="68">
        <f t="shared" si="106"/>
        <v>0</v>
      </c>
      <c r="E428" s="67">
        <f t="shared" si="103"/>
        <v>0</v>
      </c>
      <c r="F428" s="69">
        <f t="shared" si="104"/>
        <v>0</v>
      </c>
      <c r="G428" s="156">
        <f t="shared" si="107"/>
        <v>0</v>
      </c>
      <c r="H428" s="157">
        <f t="shared" si="108"/>
        <v>0</v>
      </c>
      <c r="I428" s="157">
        <f t="shared" si="105"/>
        <v>0</v>
      </c>
      <c r="J428" s="35" t="s">
        <v>26</v>
      </c>
      <c r="L428" s="99" t="s">
        <v>26</v>
      </c>
    </row>
    <row r="429" spans="1:12" ht="13.8" thickBot="1" x14ac:dyDescent="0.3">
      <c r="A429" s="7" t="s">
        <v>19</v>
      </c>
      <c r="B429" s="72">
        <f>SUM(B417:B428)</f>
        <v>0</v>
      </c>
      <c r="C429" s="72">
        <f>SUM(C417:C428)</f>
        <v>0</v>
      </c>
      <c r="D429" s="72">
        <f>SUM(D417:D428)</f>
        <v>0</v>
      </c>
      <c r="E429" s="73">
        <f>SUM(E417:E428)</f>
        <v>0</v>
      </c>
      <c r="F429" s="73">
        <f>SUM(F417:F428)</f>
        <v>0</v>
      </c>
      <c r="G429" s="71" t="s">
        <v>26</v>
      </c>
      <c r="H429" s="74">
        <f xml:space="preserve"> SUM(H417:H428)</f>
        <v>0</v>
      </c>
      <c r="I429" s="75"/>
    </row>
    <row r="430" spans="1:12" x14ac:dyDescent="0.25">
      <c r="A430" s="181">
        <f>arrears!F277</f>
        <v>0</v>
      </c>
    </row>
    <row r="431" spans="1:12" x14ac:dyDescent="0.25">
      <c r="A431" s="181">
        <f>arrears!F278</f>
        <v>0</v>
      </c>
    </row>
    <row r="432" spans="1:12" x14ac:dyDescent="0.25">
      <c r="A432" s="181">
        <f>arrears!F279</f>
        <v>0</v>
      </c>
    </row>
    <row r="433" spans="1:12" x14ac:dyDescent="0.25">
      <c r="A433" s="181">
        <f>arrears!F280</f>
        <v>0</v>
      </c>
    </row>
    <row r="434" spans="1:12" x14ac:dyDescent="0.25">
      <c r="A434" s="17"/>
      <c r="B434" s="17"/>
      <c r="C434" s="17"/>
      <c r="D434" s="17"/>
      <c r="E434" s="17"/>
      <c r="F434" s="17"/>
      <c r="G434" s="17"/>
      <c r="H434" s="18"/>
      <c r="I434" s="17"/>
    </row>
    <row r="435" spans="1:12" x14ac:dyDescent="0.25">
      <c r="A435" s="17"/>
      <c r="B435" s="17"/>
      <c r="C435" s="17"/>
      <c r="D435" s="17"/>
      <c r="E435" s="17"/>
      <c r="F435" s="17"/>
      <c r="G435" s="17"/>
      <c r="H435" s="18"/>
      <c r="I435" s="17"/>
    </row>
    <row r="436" spans="1:12" x14ac:dyDescent="0.25">
      <c r="A436" s="18"/>
      <c r="B436" s="21" t="s">
        <v>0</v>
      </c>
      <c r="C436" s="96" t="str">
        <f>$C$3</f>
        <v xml:space="preserve"> </v>
      </c>
      <c r="D436" s="19"/>
      <c r="E436" s="19"/>
      <c r="F436" s="6" t="s">
        <v>53</v>
      </c>
      <c r="G436" s="96" t="str">
        <f>$G$3</f>
        <v xml:space="preserve"> </v>
      </c>
      <c r="H436" s="17"/>
      <c r="I436" s="17"/>
    </row>
    <row r="437" spans="1:12" x14ac:dyDescent="0.25">
      <c r="A437" s="18"/>
      <c r="B437" s="21" t="s">
        <v>1</v>
      </c>
      <c r="C437" s="96" t="str">
        <f>$C$4</f>
        <v xml:space="preserve"> </v>
      </c>
      <c r="D437" s="19"/>
      <c r="E437" s="19"/>
      <c r="F437" s="21" t="s">
        <v>26</v>
      </c>
      <c r="G437" s="19" t="s">
        <v>26</v>
      </c>
      <c r="H437" s="17"/>
      <c r="I437" s="17"/>
    </row>
    <row r="438" spans="1:12" x14ac:dyDescent="0.25">
      <c r="A438" s="17"/>
      <c r="B438" s="17"/>
      <c r="C438" s="17"/>
      <c r="D438" s="17"/>
      <c r="E438" s="17"/>
      <c r="F438" s="17"/>
      <c r="G438" s="17"/>
      <c r="H438" s="17"/>
      <c r="I438" s="17"/>
    </row>
    <row r="439" spans="1:12" ht="13.8" thickBot="1" x14ac:dyDescent="0.3">
      <c r="A439" s="17"/>
      <c r="B439" s="17"/>
      <c r="C439" s="17"/>
      <c r="D439" s="17"/>
      <c r="E439" s="17"/>
      <c r="F439" s="17"/>
      <c r="G439" s="17"/>
      <c r="H439" s="17"/>
      <c r="I439" s="17"/>
    </row>
    <row r="440" spans="1:12" ht="13.8" thickBot="1" x14ac:dyDescent="0.3">
      <c r="A440" s="4" t="s">
        <v>2</v>
      </c>
      <c r="B440" s="66" t="str">
        <f>arrears!B281</f>
        <v xml:space="preserve"> </v>
      </c>
      <c r="C440" s="12" t="s">
        <v>35</v>
      </c>
      <c r="D440" s="12" t="s">
        <v>5</v>
      </c>
      <c r="E440" s="12" t="s">
        <v>5</v>
      </c>
      <c r="F440" s="12" t="s">
        <v>46</v>
      </c>
      <c r="G440" s="12" t="s">
        <v>29</v>
      </c>
      <c r="H440" s="14" t="s">
        <v>27</v>
      </c>
      <c r="I440" s="14" t="s">
        <v>29</v>
      </c>
      <c r="L440" s="215" t="s">
        <v>31</v>
      </c>
    </row>
    <row r="441" spans="1:12" ht="13.8" thickBot="1" x14ac:dyDescent="0.3">
      <c r="A441" s="4" t="s">
        <v>3</v>
      </c>
      <c r="B441" s="4" t="s">
        <v>4</v>
      </c>
      <c r="C441" s="13" t="s">
        <v>34</v>
      </c>
      <c r="D441" s="13" t="s">
        <v>30</v>
      </c>
      <c r="E441" s="13" t="s">
        <v>27</v>
      </c>
      <c r="F441" s="13" t="s">
        <v>47</v>
      </c>
      <c r="G441" s="13" t="s">
        <v>33</v>
      </c>
      <c r="H441" s="15" t="s">
        <v>34</v>
      </c>
      <c r="I441" s="15" t="s">
        <v>31</v>
      </c>
      <c r="L441" s="216" t="s">
        <v>124</v>
      </c>
    </row>
    <row r="442" spans="1:12" ht="13.8" thickBot="1" x14ac:dyDescent="0.3">
      <c r="A442" s="3" t="s">
        <v>7</v>
      </c>
      <c r="B442" s="67">
        <f>arrears!B283</f>
        <v>0</v>
      </c>
      <c r="C442" s="67">
        <f>arrears!C283</f>
        <v>0</v>
      </c>
      <c r="D442" s="68">
        <f>IF(C442&lt;=(G428+B442),C442,IF(C442&lt;=SUM(G428+B442+I428),(B442+G428),IF(C442&lt;=SUM(G428+B442+I428),(C442-I428),0)))</f>
        <v>0</v>
      </c>
      <c r="E442" s="67">
        <f t="shared" ref="E442:E453" si="109">IF(C442=D442,0,IF(C442&lt;&gt;D442,(C442-D442)))</f>
        <v>0</v>
      </c>
      <c r="F442" s="69">
        <f t="shared" ref="F442:F453" si="110">B442-D442</f>
        <v>0</v>
      </c>
      <c r="G442" s="70">
        <f>IF(J428="b",0,IF(J442="b",(G428+F442),IF(J442="s",(($M$6)+F442),IF(J442="j",$M$6,IF(J428="e",0,IF(J442="z",0,(G428+F442)))))))</f>
        <v>0</v>
      </c>
      <c r="H442" s="157">
        <f>IF(G442&lt;=0,0,IF(J442="s",0,IF(J442="n",0,IF(J442="e",(G442*$L$442),IF(J442="b",0,IF(J442="j",0,SUM(G442*$L$442)))))))</f>
        <v>0</v>
      </c>
      <c r="I442" s="71">
        <f>IF(J428="b",0,IF(J442="s",(Surcharge-E442+H442),IF(J442="j",0,IF(J428="e",0,(I428-E442+H442)))))</f>
        <v>0</v>
      </c>
      <c r="J442" s="35" t="s">
        <v>26</v>
      </c>
      <c r="L442" s="99">
        <f>IF(B440&lt;2012,0.01,0.005)</f>
        <v>5.0000000000000001E-3</v>
      </c>
    </row>
    <row r="443" spans="1:12" ht="13.8" thickBot="1" x14ac:dyDescent="0.3">
      <c r="A443" s="3" t="s">
        <v>8</v>
      </c>
      <c r="B443" s="67">
        <f>arrears!B284</f>
        <v>0</v>
      </c>
      <c r="C443" s="67">
        <f>arrears!C284</f>
        <v>0</v>
      </c>
      <c r="D443" s="68">
        <f>IF(C443&lt;=(G442+B443),C443,IF(C443&lt;=(G442+B443+I442),B443+G442,IF(C443&gt;SUM(G442+B443+I442),(C443-I442),0)))</f>
        <v>0</v>
      </c>
      <c r="E443" s="67">
        <f t="shared" si="109"/>
        <v>0</v>
      </c>
      <c r="F443" s="69">
        <f t="shared" si="110"/>
        <v>0</v>
      </c>
      <c r="G443" s="156">
        <f>IF(J442="b",0,IF(J443="b",(G442+F443),IF(J443="s",(($M$6)+F443),IF(J443="j",$M$6,IF(J442="e",0,IF(J443="z",0,(G442+F443)))))))</f>
        <v>0</v>
      </c>
      <c r="H443" s="157">
        <f>IF(G443&lt;=0,0,IF(J443="s",0,IF(J443="n",0,IF(J443="e",(G443*$L$442),IF(J443="b",0,IF(J443="j",0,SUM(G443*$L$442)))))))</f>
        <v>0</v>
      </c>
      <c r="I443" s="157">
        <f t="shared" ref="I443:I453" si="111">IF(J442="b",0,IF(J443="s",(Surcharge-E443+H443),IF(J443="j",0,IF(J442="e",0,(I442-E443+H443)))))</f>
        <v>0</v>
      </c>
      <c r="J443" s="35" t="s">
        <v>26</v>
      </c>
      <c r="L443" s="99" t="s">
        <v>26</v>
      </c>
    </row>
    <row r="444" spans="1:12" ht="13.8" thickBot="1" x14ac:dyDescent="0.3">
      <c r="A444" s="3" t="s">
        <v>9</v>
      </c>
      <c r="B444" s="67">
        <f>arrears!B285</f>
        <v>0</v>
      </c>
      <c r="C444" s="67">
        <f>arrears!C285</f>
        <v>0</v>
      </c>
      <c r="D444" s="68">
        <f t="shared" ref="D444:D453" si="112">IF(C444&lt;=(G443+B444),C444,IF(C444&lt;=(G443+B444+I443),B444+G443,IF(C444&gt;SUM(G443+B444+I443),(C444-I443),0)))</f>
        <v>0</v>
      </c>
      <c r="E444" s="67">
        <f t="shared" si="109"/>
        <v>0</v>
      </c>
      <c r="F444" s="69">
        <f t="shared" si="110"/>
        <v>0</v>
      </c>
      <c r="G444" s="156">
        <f t="shared" ref="G444:G453" si="113">IF(J443="b",0,IF(J444="b",(G443+F444),IF(J444="s",(($M$6)+F444),IF(J444="j",$M$6,IF(J443="e",0,IF(J444="z",0,(G443+F444)))))))</f>
        <v>0</v>
      </c>
      <c r="H444" s="157">
        <f t="shared" ref="H444:H453" si="114">IF(G444&lt;=0,0,IF(J444="s",0,IF(J444="n",0,IF(J444="e",(G444*$L$442),IF(J444="b",0,IF(J444="j",0,SUM(G444*$L$442)))))))</f>
        <v>0</v>
      </c>
      <c r="I444" s="157">
        <f t="shared" si="111"/>
        <v>0</v>
      </c>
      <c r="L444" s="99" t="s">
        <v>26</v>
      </c>
    </row>
    <row r="445" spans="1:12" ht="13.8" thickBot="1" x14ac:dyDescent="0.3">
      <c r="A445" s="3" t="s">
        <v>10</v>
      </c>
      <c r="B445" s="67">
        <f>arrears!B286</f>
        <v>0</v>
      </c>
      <c r="C445" s="67">
        <f>arrears!C286</f>
        <v>0</v>
      </c>
      <c r="D445" s="68">
        <f t="shared" si="112"/>
        <v>0</v>
      </c>
      <c r="E445" s="67">
        <f t="shared" si="109"/>
        <v>0</v>
      </c>
      <c r="F445" s="69">
        <f t="shared" si="110"/>
        <v>0</v>
      </c>
      <c r="G445" s="156">
        <f t="shared" si="113"/>
        <v>0</v>
      </c>
      <c r="H445" s="157">
        <f t="shared" si="114"/>
        <v>0</v>
      </c>
      <c r="I445" s="157">
        <f t="shared" si="111"/>
        <v>0</v>
      </c>
      <c r="L445" s="99" t="s">
        <v>26</v>
      </c>
    </row>
    <row r="446" spans="1:12" ht="13.8" thickBot="1" x14ac:dyDescent="0.3">
      <c r="A446" s="3" t="s">
        <v>11</v>
      </c>
      <c r="B446" s="67">
        <f>arrears!B287</f>
        <v>0</v>
      </c>
      <c r="C446" s="67">
        <f>arrears!C287</f>
        <v>0</v>
      </c>
      <c r="D446" s="68">
        <f t="shared" si="112"/>
        <v>0</v>
      </c>
      <c r="E446" s="67">
        <f t="shared" si="109"/>
        <v>0</v>
      </c>
      <c r="F446" s="69">
        <f t="shared" si="110"/>
        <v>0</v>
      </c>
      <c r="G446" s="156">
        <f t="shared" si="113"/>
        <v>0</v>
      </c>
      <c r="H446" s="157">
        <f t="shared" si="114"/>
        <v>0</v>
      </c>
      <c r="I446" s="157">
        <f t="shared" si="111"/>
        <v>0</v>
      </c>
      <c r="L446" s="99" t="s">
        <v>26</v>
      </c>
    </row>
    <row r="447" spans="1:12" ht="13.8" thickBot="1" x14ac:dyDescent="0.3">
      <c r="A447" s="3" t="s">
        <v>12</v>
      </c>
      <c r="B447" s="67">
        <f>arrears!B288</f>
        <v>0</v>
      </c>
      <c r="C447" s="67">
        <f>arrears!C288</f>
        <v>0</v>
      </c>
      <c r="D447" s="68">
        <f t="shared" si="112"/>
        <v>0</v>
      </c>
      <c r="E447" s="67">
        <f t="shared" si="109"/>
        <v>0</v>
      </c>
      <c r="F447" s="69">
        <f t="shared" si="110"/>
        <v>0</v>
      </c>
      <c r="G447" s="156">
        <f t="shared" si="113"/>
        <v>0</v>
      </c>
      <c r="H447" s="157">
        <f t="shared" si="114"/>
        <v>0</v>
      </c>
      <c r="I447" s="157">
        <f t="shared" si="111"/>
        <v>0</v>
      </c>
      <c r="L447" s="99" t="s">
        <v>36</v>
      </c>
    </row>
    <row r="448" spans="1:12" ht="13.8" thickBot="1" x14ac:dyDescent="0.3">
      <c r="A448" s="3" t="s">
        <v>13</v>
      </c>
      <c r="B448" s="67">
        <f>arrears!B289</f>
        <v>0</v>
      </c>
      <c r="C448" s="67">
        <f>arrears!C289</f>
        <v>0</v>
      </c>
      <c r="D448" s="68">
        <f t="shared" si="112"/>
        <v>0</v>
      </c>
      <c r="E448" s="67">
        <f t="shared" si="109"/>
        <v>0</v>
      </c>
      <c r="F448" s="69">
        <f t="shared" si="110"/>
        <v>0</v>
      </c>
      <c r="G448" s="156">
        <f t="shared" si="113"/>
        <v>0</v>
      </c>
      <c r="H448" s="157">
        <f t="shared" si="114"/>
        <v>0</v>
      </c>
      <c r="I448" s="157">
        <f t="shared" si="111"/>
        <v>0</v>
      </c>
      <c r="L448" s="99" t="s">
        <v>26</v>
      </c>
    </row>
    <row r="449" spans="1:12" ht="13.8" thickBot="1" x14ac:dyDescent="0.3">
      <c r="A449" s="3" t="s">
        <v>14</v>
      </c>
      <c r="B449" s="67">
        <f>arrears!B290</f>
        <v>0</v>
      </c>
      <c r="C449" s="67">
        <f>arrears!C290</f>
        <v>0</v>
      </c>
      <c r="D449" s="68">
        <f t="shared" si="112"/>
        <v>0</v>
      </c>
      <c r="E449" s="67">
        <f t="shared" si="109"/>
        <v>0</v>
      </c>
      <c r="F449" s="69">
        <f t="shared" si="110"/>
        <v>0</v>
      </c>
      <c r="G449" s="156">
        <f t="shared" si="113"/>
        <v>0</v>
      </c>
      <c r="H449" s="157">
        <f t="shared" si="114"/>
        <v>0</v>
      </c>
      <c r="I449" s="157">
        <f t="shared" si="111"/>
        <v>0</v>
      </c>
      <c r="L449" s="99" t="s">
        <v>26</v>
      </c>
    </row>
    <row r="450" spans="1:12" ht="13.8" thickBot="1" x14ac:dyDescent="0.3">
      <c r="A450" s="3" t="s">
        <v>15</v>
      </c>
      <c r="B450" s="67">
        <f>arrears!B291</f>
        <v>0</v>
      </c>
      <c r="C450" s="67">
        <f>arrears!C291</f>
        <v>0</v>
      </c>
      <c r="D450" s="68">
        <f t="shared" si="112"/>
        <v>0</v>
      </c>
      <c r="E450" s="67">
        <f t="shared" si="109"/>
        <v>0</v>
      </c>
      <c r="F450" s="69">
        <f t="shared" si="110"/>
        <v>0</v>
      </c>
      <c r="G450" s="156">
        <f t="shared" si="113"/>
        <v>0</v>
      </c>
      <c r="H450" s="157">
        <f t="shared" si="114"/>
        <v>0</v>
      </c>
      <c r="I450" s="157">
        <f t="shared" si="111"/>
        <v>0</v>
      </c>
      <c r="L450" s="99" t="s">
        <v>26</v>
      </c>
    </row>
    <row r="451" spans="1:12" ht="13.8" thickBot="1" x14ac:dyDescent="0.3">
      <c r="A451" s="3" t="s">
        <v>16</v>
      </c>
      <c r="B451" s="67">
        <f>arrears!B292</f>
        <v>0</v>
      </c>
      <c r="C451" s="67">
        <f>arrears!C292</f>
        <v>0</v>
      </c>
      <c r="D451" s="68">
        <f t="shared" si="112"/>
        <v>0</v>
      </c>
      <c r="E451" s="67">
        <f t="shared" si="109"/>
        <v>0</v>
      </c>
      <c r="F451" s="69">
        <f t="shared" si="110"/>
        <v>0</v>
      </c>
      <c r="G451" s="156">
        <f t="shared" si="113"/>
        <v>0</v>
      </c>
      <c r="H451" s="157">
        <f t="shared" si="114"/>
        <v>0</v>
      </c>
      <c r="I451" s="157">
        <f t="shared" si="111"/>
        <v>0</v>
      </c>
      <c r="L451" s="99" t="s">
        <v>26</v>
      </c>
    </row>
    <row r="452" spans="1:12" ht="13.8" thickBot="1" x14ac:dyDescent="0.3">
      <c r="A452" s="3" t="s">
        <v>17</v>
      </c>
      <c r="B452" s="67">
        <f>arrears!B293</f>
        <v>0</v>
      </c>
      <c r="C452" s="67">
        <f>arrears!C293</f>
        <v>0</v>
      </c>
      <c r="D452" s="68">
        <f t="shared" si="112"/>
        <v>0</v>
      </c>
      <c r="E452" s="67">
        <f t="shared" si="109"/>
        <v>0</v>
      </c>
      <c r="F452" s="69">
        <f t="shared" si="110"/>
        <v>0</v>
      </c>
      <c r="G452" s="156">
        <f t="shared" si="113"/>
        <v>0</v>
      </c>
      <c r="H452" s="157">
        <f t="shared" si="114"/>
        <v>0</v>
      </c>
      <c r="I452" s="157">
        <f t="shared" si="111"/>
        <v>0</v>
      </c>
      <c r="L452" s="99" t="s">
        <v>26</v>
      </c>
    </row>
    <row r="453" spans="1:12" ht="13.8" thickBot="1" x14ac:dyDescent="0.3">
      <c r="A453" s="3" t="s">
        <v>18</v>
      </c>
      <c r="B453" s="67">
        <f>arrears!B294</f>
        <v>0</v>
      </c>
      <c r="C453" s="67">
        <f>arrears!C294</f>
        <v>0</v>
      </c>
      <c r="D453" s="68">
        <f t="shared" si="112"/>
        <v>0</v>
      </c>
      <c r="E453" s="67">
        <f t="shared" si="109"/>
        <v>0</v>
      </c>
      <c r="F453" s="69">
        <f t="shared" si="110"/>
        <v>0</v>
      </c>
      <c r="G453" s="156">
        <f t="shared" si="113"/>
        <v>0</v>
      </c>
      <c r="H453" s="157">
        <f t="shared" si="114"/>
        <v>0</v>
      </c>
      <c r="I453" s="157">
        <f t="shared" si="111"/>
        <v>0</v>
      </c>
      <c r="J453" s="35" t="s">
        <v>26</v>
      </c>
      <c r="L453" s="99" t="s">
        <v>26</v>
      </c>
    </row>
    <row r="454" spans="1:12" ht="13.8" thickBot="1" x14ac:dyDescent="0.3">
      <c r="A454" s="7" t="s">
        <v>19</v>
      </c>
      <c r="B454" s="72">
        <f>SUM(B442:B453)</f>
        <v>0</v>
      </c>
      <c r="C454" s="72">
        <f>SUM(C442:C453)</f>
        <v>0</v>
      </c>
      <c r="D454" s="72">
        <f>SUM(D442:D453)</f>
        <v>0</v>
      </c>
      <c r="E454" s="73">
        <f>SUM(E442:E453)</f>
        <v>0</v>
      </c>
      <c r="F454" s="73">
        <f>SUM(F442:F453)</f>
        <v>0</v>
      </c>
      <c r="G454" s="71" t="s">
        <v>26</v>
      </c>
      <c r="H454" s="74">
        <f xml:space="preserve"> SUM(H442:H453)</f>
        <v>0</v>
      </c>
      <c r="I454" s="75"/>
    </row>
    <row r="455" spans="1:12" x14ac:dyDescent="0.25">
      <c r="A455" s="207">
        <f>arrears!A296</f>
        <v>0</v>
      </c>
    </row>
    <row r="456" spans="1:12" x14ac:dyDescent="0.25">
      <c r="A456" s="207">
        <f>arrears!A297</f>
        <v>0</v>
      </c>
    </row>
    <row r="457" spans="1:12" x14ac:dyDescent="0.25">
      <c r="A457" s="207">
        <f>arrears!A298</f>
        <v>0</v>
      </c>
    </row>
    <row r="458" spans="1:12" ht="13.8" thickBot="1" x14ac:dyDescent="0.3">
      <c r="A458" s="207">
        <f>arrears!A299</f>
        <v>0</v>
      </c>
    </row>
    <row r="459" spans="1:12" ht="13.8" thickBot="1" x14ac:dyDescent="0.3">
      <c r="A459" s="4" t="s">
        <v>2</v>
      </c>
      <c r="B459" s="66" t="str">
        <f>arrears!G281</f>
        <v xml:space="preserve"> </v>
      </c>
      <c r="C459" s="12" t="s">
        <v>35</v>
      </c>
      <c r="D459" s="12" t="s">
        <v>5</v>
      </c>
      <c r="E459" s="12" t="s">
        <v>5</v>
      </c>
      <c r="F459" s="12" t="s">
        <v>46</v>
      </c>
      <c r="G459" s="12" t="s">
        <v>29</v>
      </c>
      <c r="H459" s="14" t="s">
        <v>27</v>
      </c>
      <c r="I459" s="14" t="s">
        <v>29</v>
      </c>
      <c r="L459" s="215" t="s">
        <v>31</v>
      </c>
    </row>
    <row r="460" spans="1:12" ht="13.8" thickBot="1" x14ac:dyDescent="0.3">
      <c r="A460" s="4" t="s">
        <v>3</v>
      </c>
      <c r="B460" s="4" t="s">
        <v>4</v>
      </c>
      <c r="C460" s="13" t="s">
        <v>34</v>
      </c>
      <c r="D460" s="13" t="s">
        <v>30</v>
      </c>
      <c r="E460" s="13" t="s">
        <v>27</v>
      </c>
      <c r="F460" s="13" t="s">
        <v>47</v>
      </c>
      <c r="G460" s="13" t="s">
        <v>33</v>
      </c>
      <c r="H460" s="15" t="s">
        <v>34</v>
      </c>
      <c r="I460" s="15" t="s">
        <v>31</v>
      </c>
      <c r="L460" s="216" t="s">
        <v>124</v>
      </c>
    </row>
    <row r="461" spans="1:12" ht="13.8" thickBot="1" x14ac:dyDescent="0.3">
      <c r="A461" s="3" t="s">
        <v>7</v>
      </c>
      <c r="B461" s="67">
        <f>arrears!G283</f>
        <v>0</v>
      </c>
      <c r="C461" s="67">
        <f>arrears!H283</f>
        <v>0</v>
      </c>
      <c r="D461" s="68">
        <f>IF(C461&lt;=(G453+B461),C461,IF(C461&lt;=SUM(G453+B461+I453),B461+G453,IF(C461&gt;=SUM(G453+B461+I453),(C461-I453),0)))</f>
        <v>0</v>
      </c>
      <c r="E461" s="67">
        <f t="shared" ref="E461:E472" si="115">IF(C461=D461,0,IF(C461&lt;&gt;D461,(C461-D461)))</f>
        <v>0</v>
      </c>
      <c r="F461" s="69">
        <f t="shared" ref="F461:F472" si="116">B461-D461</f>
        <v>0</v>
      </c>
      <c r="G461" s="156">
        <f>IF(J453="b",0,IF(J461="b",(G453+F461),IF(J461="s",(($M$6)+F461),IF(J461="j",$M$6,IF(J453="e",0,IF(J461="z",0,(G453+F461)))))))</f>
        <v>0</v>
      </c>
      <c r="H461" s="157">
        <f>IF(G461&lt;=0,0,IF(J461="s",0,IF(J461="n",0,IF(J461="e",(G461*$L$461),IF(J461="b",0,IF(J461="j",0,SUM(G461*$L$461)))))))</f>
        <v>0</v>
      </c>
      <c r="I461" s="157">
        <f>IF(J453="b",0,IF(J461="s",(Surcharge-E461+H461),IF(J461="j",0,IF(J453="e",0,(I453-E461+H461)))))</f>
        <v>0</v>
      </c>
      <c r="J461" s="35" t="s">
        <v>26</v>
      </c>
      <c r="L461" s="99">
        <f>IF(B459&lt;2012,0.01,0.005)</f>
        <v>5.0000000000000001E-3</v>
      </c>
    </row>
    <row r="462" spans="1:12" ht="13.8" thickBot="1" x14ac:dyDescent="0.3">
      <c r="A462" s="3" t="s">
        <v>8</v>
      </c>
      <c r="B462" s="67">
        <f>arrears!G284</f>
        <v>0</v>
      </c>
      <c r="C462" s="67">
        <f>arrears!H284</f>
        <v>0</v>
      </c>
      <c r="D462" s="68">
        <f>IF(C462&lt;=(G461+B462),C462,IF(C462&lt;=(G461+B462+I461),B462+G461,IF(C462&gt;SUM(G461+B462+I461),(C462-I461),0)))</f>
        <v>0</v>
      </c>
      <c r="E462" s="67">
        <f t="shared" si="115"/>
        <v>0</v>
      </c>
      <c r="F462" s="69">
        <f t="shared" si="116"/>
        <v>0</v>
      </c>
      <c r="G462" s="156">
        <f>IF(J461="b",0,IF(J462="b",(G461+F462),IF(J462="s",(($M$6)+F462),IF(J462="j",$M$6,IF(J461="e",0,IF(J462="z",0,(G461+F462)))))))</f>
        <v>0</v>
      </c>
      <c r="H462" s="157">
        <f>IF(G462&lt;=0,0,IF(J462="s",0,IF(J462="n",0,IF(J462="e",(G462*$L$461),IF(J462="b",0,IF(J462="j",0,SUM(G462*$L$461)))))))</f>
        <v>0</v>
      </c>
      <c r="I462" s="157">
        <f t="shared" ref="I462:I472" si="117">IF(J461="b",0,IF(J462="s",(Surcharge-E462+H462),IF(J462="j",0,IF(J461="e",0,(I461-E462+H462)))))</f>
        <v>0</v>
      </c>
      <c r="J462" s="35" t="s">
        <v>26</v>
      </c>
      <c r="L462" s="99" t="s">
        <v>26</v>
      </c>
    </row>
    <row r="463" spans="1:12" ht="13.8" thickBot="1" x14ac:dyDescent="0.3">
      <c r="A463" s="3" t="s">
        <v>9</v>
      </c>
      <c r="B463" s="67">
        <f>arrears!G285</f>
        <v>0</v>
      </c>
      <c r="C463" s="67">
        <f>arrears!H285</f>
        <v>0</v>
      </c>
      <c r="D463" s="68">
        <f t="shared" ref="D463:D472" si="118">IF(C463&lt;=(G462+B463),C463,IF(C463&lt;=(G462+B463+I462),B463+G462,IF(C463&gt;SUM(G462+B463+I462),(C463-I462),0)))</f>
        <v>0</v>
      </c>
      <c r="E463" s="67">
        <f t="shared" si="115"/>
        <v>0</v>
      </c>
      <c r="F463" s="69">
        <f t="shared" si="116"/>
        <v>0</v>
      </c>
      <c r="G463" s="156">
        <f t="shared" ref="G463:G472" si="119">IF(J462="b",0,IF(J463="b",(G462+F463),IF(J463="s",(($M$6)+F463),IF(J463="j",$M$6,IF(J462="e",0,IF(J463="z",0,(G462+F463)))))))</f>
        <v>0</v>
      </c>
      <c r="H463" s="157">
        <f t="shared" ref="H463:H472" si="120">IF(G463&lt;=0,0,IF(J463="s",0,IF(J463="n",0,IF(J463="e",(G463*$L$461),IF(J463="b",0,IF(J463="j",0,SUM(G463*$L$461)))))))</f>
        <v>0</v>
      </c>
      <c r="I463" s="157">
        <f t="shared" si="117"/>
        <v>0</v>
      </c>
      <c r="L463" s="99" t="s">
        <v>26</v>
      </c>
    </row>
    <row r="464" spans="1:12" ht="13.8" thickBot="1" x14ac:dyDescent="0.3">
      <c r="A464" s="3" t="s">
        <v>10</v>
      </c>
      <c r="B464" s="67">
        <f>arrears!G286</f>
        <v>0</v>
      </c>
      <c r="C464" s="67">
        <f>arrears!H286</f>
        <v>0</v>
      </c>
      <c r="D464" s="68">
        <f t="shared" si="118"/>
        <v>0</v>
      </c>
      <c r="E464" s="67">
        <f t="shared" si="115"/>
        <v>0</v>
      </c>
      <c r="F464" s="69">
        <f t="shared" si="116"/>
        <v>0</v>
      </c>
      <c r="G464" s="156">
        <f t="shared" si="119"/>
        <v>0</v>
      </c>
      <c r="H464" s="157">
        <f t="shared" si="120"/>
        <v>0</v>
      </c>
      <c r="I464" s="157">
        <f t="shared" si="117"/>
        <v>0</v>
      </c>
      <c r="L464" s="99" t="s">
        <v>26</v>
      </c>
    </row>
    <row r="465" spans="1:12" ht="13.8" thickBot="1" x14ac:dyDescent="0.3">
      <c r="A465" s="3" t="s">
        <v>11</v>
      </c>
      <c r="B465" s="67">
        <f>arrears!G287</f>
        <v>0</v>
      </c>
      <c r="C465" s="67">
        <f>arrears!H287</f>
        <v>0</v>
      </c>
      <c r="D465" s="68">
        <f t="shared" si="118"/>
        <v>0</v>
      </c>
      <c r="E465" s="67">
        <f t="shared" si="115"/>
        <v>0</v>
      </c>
      <c r="F465" s="69">
        <f t="shared" si="116"/>
        <v>0</v>
      </c>
      <c r="G465" s="156">
        <f t="shared" si="119"/>
        <v>0</v>
      </c>
      <c r="H465" s="157">
        <f t="shared" si="120"/>
        <v>0</v>
      </c>
      <c r="I465" s="157">
        <f t="shared" si="117"/>
        <v>0</v>
      </c>
      <c r="L465" s="99" t="s">
        <v>26</v>
      </c>
    </row>
    <row r="466" spans="1:12" ht="13.8" thickBot="1" x14ac:dyDescent="0.3">
      <c r="A466" s="3" t="s">
        <v>12</v>
      </c>
      <c r="B466" s="67">
        <f>arrears!G288</f>
        <v>0</v>
      </c>
      <c r="C466" s="67">
        <f>arrears!H288</f>
        <v>0</v>
      </c>
      <c r="D466" s="68">
        <f t="shared" si="118"/>
        <v>0</v>
      </c>
      <c r="E466" s="67">
        <f t="shared" si="115"/>
        <v>0</v>
      </c>
      <c r="F466" s="69">
        <f t="shared" si="116"/>
        <v>0</v>
      </c>
      <c r="G466" s="156">
        <f t="shared" si="119"/>
        <v>0</v>
      </c>
      <c r="H466" s="157">
        <f t="shared" si="120"/>
        <v>0</v>
      </c>
      <c r="I466" s="157">
        <f t="shared" si="117"/>
        <v>0</v>
      </c>
      <c r="L466" s="99" t="s">
        <v>26</v>
      </c>
    </row>
    <row r="467" spans="1:12" ht="13.8" thickBot="1" x14ac:dyDescent="0.3">
      <c r="A467" s="3" t="s">
        <v>13</v>
      </c>
      <c r="B467" s="67">
        <f>arrears!G289</f>
        <v>0</v>
      </c>
      <c r="C467" s="67">
        <f>arrears!H289</f>
        <v>0</v>
      </c>
      <c r="D467" s="68">
        <f t="shared" si="118"/>
        <v>0</v>
      </c>
      <c r="E467" s="67">
        <f t="shared" si="115"/>
        <v>0</v>
      </c>
      <c r="F467" s="69">
        <f t="shared" si="116"/>
        <v>0</v>
      </c>
      <c r="G467" s="156">
        <f t="shared" si="119"/>
        <v>0</v>
      </c>
      <c r="H467" s="157">
        <f t="shared" si="120"/>
        <v>0</v>
      </c>
      <c r="I467" s="157">
        <f t="shared" si="117"/>
        <v>0</v>
      </c>
      <c r="L467" s="99" t="s">
        <v>26</v>
      </c>
    </row>
    <row r="468" spans="1:12" ht="13.8" thickBot="1" x14ac:dyDescent="0.3">
      <c r="A468" s="3" t="s">
        <v>14</v>
      </c>
      <c r="B468" s="67">
        <f>arrears!G290</f>
        <v>0</v>
      </c>
      <c r="C468" s="67">
        <f>arrears!H290</f>
        <v>0</v>
      </c>
      <c r="D468" s="68">
        <f t="shared" si="118"/>
        <v>0</v>
      </c>
      <c r="E468" s="67">
        <f t="shared" si="115"/>
        <v>0</v>
      </c>
      <c r="F468" s="69">
        <f t="shared" si="116"/>
        <v>0</v>
      </c>
      <c r="G468" s="156">
        <f t="shared" si="119"/>
        <v>0</v>
      </c>
      <c r="H468" s="157">
        <f t="shared" si="120"/>
        <v>0</v>
      </c>
      <c r="I468" s="157">
        <f t="shared" si="117"/>
        <v>0</v>
      </c>
      <c r="L468" s="99" t="s">
        <v>26</v>
      </c>
    </row>
    <row r="469" spans="1:12" ht="13.8" thickBot="1" x14ac:dyDescent="0.3">
      <c r="A469" s="3" t="s">
        <v>15</v>
      </c>
      <c r="B469" s="67">
        <f>arrears!G291</f>
        <v>0</v>
      </c>
      <c r="C469" s="67">
        <f>arrears!H291</f>
        <v>0</v>
      </c>
      <c r="D469" s="68">
        <f t="shared" si="118"/>
        <v>0</v>
      </c>
      <c r="E469" s="67">
        <f t="shared" si="115"/>
        <v>0</v>
      </c>
      <c r="F469" s="69">
        <f t="shared" si="116"/>
        <v>0</v>
      </c>
      <c r="G469" s="156">
        <f t="shared" si="119"/>
        <v>0</v>
      </c>
      <c r="H469" s="157">
        <f t="shared" si="120"/>
        <v>0</v>
      </c>
      <c r="I469" s="157">
        <f t="shared" si="117"/>
        <v>0</v>
      </c>
      <c r="L469" s="99" t="s">
        <v>36</v>
      </c>
    </row>
    <row r="470" spans="1:12" ht="13.8" thickBot="1" x14ac:dyDescent="0.3">
      <c r="A470" s="3" t="s">
        <v>16</v>
      </c>
      <c r="B470" s="67">
        <f>arrears!G292</f>
        <v>0</v>
      </c>
      <c r="C470" s="67">
        <f>arrears!H292</f>
        <v>0</v>
      </c>
      <c r="D470" s="68">
        <f t="shared" si="118"/>
        <v>0</v>
      </c>
      <c r="E470" s="67">
        <f t="shared" si="115"/>
        <v>0</v>
      </c>
      <c r="F470" s="69">
        <f t="shared" si="116"/>
        <v>0</v>
      </c>
      <c r="G470" s="156">
        <f t="shared" si="119"/>
        <v>0</v>
      </c>
      <c r="H470" s="157">
        <f t="shared" si="120"/>
        <v>0</v>
      </c>
      <c r="I470" s="157">
        <f t="shared" si="117"/>
        <v>0</v>
      </c>
      <c r="L470" s="99" t="s">
        <v>26</v>
      </c>
    </row>
    <row r="471" spans="1:12" ht="13.8" thickBot="1" x14ac:dyDescent="0.3">
      <c r="A471" s="3" t="s">
        <v>17</v>
      </c>
      <c r="B471" s="67">
        <f>arrears!G293</f>
        <v>0</v>
      </c>
      <c r="C471" s="67">
        <f>arrears!H293</f>
        <v>0</v>
      </c>
      <c r="D471" s="68">
        <f t="shared" si="118"/>
        <v>0</v>
      </c>
      <c r="E471" s="67">
        <f t="shared" si="115"/>
        <v>0</v>
      </c>
      <c r="F471" s="69">
        <f t="shared" si="116"/>
        <v>0</v>
      </c>
      <c r="G471" s="156">
        <f t="shared" si="119"/>
        <v>0</v>
      </c>
      <c r="H471" s="157">
        <f t="shared" si="120"/>
        <v>0</v>
      </c>
      <c r="I471" s="157">
        <f t="shared" si="117"/>
        <v>0</v>
      </c>
      <c r="L471" s="99" t="s">
        <v>26</v>
      </c>
    </row>
    <row r="472" spans="1:12" ht="13.8" thickBot="1" x14ac:dyDescent="0.3">
      <c r="A472" s="3" t="s">
        <v>18</v>
      </c>
      <c r="B472" s="67">
        <f>arrears!G294</f>
        <v>0</v>
      </c>
      <c r="C472" s="67">
        <f>arrears!H294</f>
        <v>0</v>
      </c>
      <c r="D472" s="68">
        <f t="shared" si="118"/>
        <v>0</v>
      </c>
      <c r="E472" s="67">
        <f t="shared" si="115"/>
        <v>0</v>
      </c>
      <c r="F472" s="69">
        <f t="shared" si="116"/>
        <v>0</v>
      </c>
      <c r="G472" s="156">
        <f t="shared" si="119"/>
        <v>0</v>
      </c>
      <c r="H472" s="157">
        <f t="shared" si="120"/>
        <v>0</v>
      </c>
      <c r="I472" s="157">
        <f t="shared" si="117"/>
        <v>0</v>
      </c>
      <c r="J472" s="35" t="s">
        <v>26</v>
      </c>
      <c r="L472" s="99" t="s">
        <v>26</v>
      </c>
    </row>
    <row r="473" spans="1:12" ht="13.8" thickBot="1" x14ac:dyDescent="0.3">
      <c r="A473" s="7" t="s">
        <v>19</v>
      </c>
      <c r="B473" s="72">
        <f>SUM(B461:B472)</f>
        <v>0</v>
      </c>
      <c r="C473" s="72">
        <f>SUM(C461:C472)</f>
        <v>0</v>
      </c>
      <c r="D473" s="72">
        <f>SUM(D461:D472)</f>
        <v>0</v>
      </c>
      <c r="E473" s="73">
        <f>SUM(E461:E472)</f>
        <v>0</v>
      </c>
      <c r="F473" s="73">
        <f>SUM(F461:F472)</f>
        <v>0</v>
      </c>
      <c r="G473" s="71" t="s">
        <v>26</v>
      </c>
      <c r="H473" s="74">
        <f xml:space="preserve"> SUM(H461:H472)</f>
        <v>0</v>
      </c>
      <c r="I473" s="75"/>
    </row>
    <row r="474" spans="1:12" x14ac:dyDescent="0.25">
      <c r="A474" s="181">
        <f>arrears!F296</f>
        <v>0</v>
      </c>
    </row>
    <row r="475" spans="1:12" x14ac:dyDescent="0.25">
      <c r="A475" s="181">
        <f>arrears!F297</f>
        <v>0</v>
      </c>
    </row>
    <row r="476" spans="1:12" x14ac:dyDescent="0.25">
      <c r="A476" s="181">
        <f>arrears!F298</f>
        <v>0</v>
      </c>
    </row>
    <row r="477" spans="1:12" ht="13.8" thickBot="1" x14ac:dyDescent="0.3">
      <c r="A477" s="181">
        <f>arrears!F299</f>
        <v>0</v>
      </c>
    </row>
    <row r="478" spans="1:12" ht="13.8" thickBot="1" x14ac:dyDescent="0.3">
      <c r="A478" s="4" t="s">
        <v>2</v>
      </c>
      <c r="B478" s="66" t="str">
        <f>arrears!B311</f>
        <v xml:space="preserve"> </v>
      </c>
      <c r="C478" s="12" t="s">
        <v>35</v>
      </c>
      <c r="D478" s="12" t="s">
        <v>5</v>
      </c>
      <c r="E478" s="12" t="s">
        <v>5</v>
      </c>
      <c r="F478" s="12" t="s">
        <v>46</v>
      </c>
      <c r="G478" s="12" t="s">
        <v>29</v>
      </c>
      <c r="H478" s="14" t="s">
        <v>27</v>
      </c>
      <c r="I478" s="14" t="s">
        <v>29</v>
      </c>
      <c r="L478" s="215" t="s">
        <v>31</v>
      </c>
    </row>
    <row r="479" spans="1:12" ht="13.8" thickBot="1" x14ac:dyDescent="0.3">
      <c r="A479" s="4" t="s">
        <v>3</v>
      </c>
      <c r="B479" s="4" t="s">
        <v>4</v>
      </c>
      <c r="C479" s="13" t="s">
        <v>34</v>
      </c>
      <c r="D479" s="13" t="s">
        <v>30</v>
      </c>
      <c r="E479" s="13" t="s">
        <v>27</v>
      </c>
      <c r="F479" s="13" t="s">
        <v>47</v>
      </c>
      <c r="G479" s="13" t="s">
        <v>33</v>
      </c>
      <c r="H479" s="15" t="s">
        <v>34</v>
      </c>
      <c r="I479" s="15" t="s">
        <v>31</v>
      </c>
      <c r="L479" s="216" t="s">
        <v>124</v>
      </c>
    </row>
    <row r="480" spans="1:12" ht="13.8" thickBot="1" x14ac:dyDescent="0.3">
      <c r="A480" s="3" t="s">
        <v>7</v>
      </c>
      <c r="B480" s="67">
        <f>arrears!B313</f>
        <v>0</v>
      </c>
      <c r="C480" s="67">
        <f>arrears!C313</f>
        <v>0</v>
      </c>
      <c r="D480" s="68">
        <f>IF(C480&lt;=(G472+B480),C480,IF(C480&lt;=SUM(G472+B480+I472),B480+G472,IF(C480&gt;=SUM(G472+B480+I472),(C480-I472),0)))</f>
        <v>0</v>
      </c>
      <c r="E480" s="67">
        <f t="shared" ref="E480:E491" si="121">IF(C480=D480,0,IF(C480&lt;&gt;D480,(C480-D480)))</f>
        <v>0</v>
      </c>
      <c r="F480" s="69">
        <f t="shared" ref="F480:F491" si="122">B480-D480</f>
        <v>0</v>
      </c>
      <c r="G480" s="156">
        <f>IF(J472="b",0,IF(J480="b",(G472+F480),IF(J480="s",(($M$6)+F480),IF(J480="j",$M$6,IF(J472="e",0,IF(J480="z",0,(G472+F480)))))))</f>
        <v>0</v>
      </c>
      <c r="H480" s="157">
        <f>IF(G480&lt;=0,0,IF(J480="s",0,IF(J480="n",0,IF(J480="e",(G480*$L$480),IF(J480="b",0,IF(J480="j",0,SUM(G480*$L$480)))))))</f>
        <v>0</v>
      </c>
      <c r="I480" s="157">
        <f>IF(J472="b",0,IF(J480="s",(Surcharge-E480+H480),IF(J480="j",0,IF(J472="e",0,(I472-E480+H480)))))</f>
        <v>0</v>
      </c>
      <c r="J480" s="35" t="s">
        <v>26</v>
      </c>
      <c r="L480" s="99">
        <f>IF(B478&lt;2012,0.01,0.005)</f>
        <v>5.0000000000000001E-3</v>
      </c>
    </row>
    <row r="481" spans="1:12" ht="13.8" thickBot="1" x14ac:dyDescent="0.3">
      <c r="A481" s="3" t="s">
        <v>8</v>
      </c>
      <c r="B481" s="67">
        <f>arrears!B314</f>
        <v>0</v>
      </c>
      <c r="C481" s="67">
        <f>arrears!C314</f>
        <v>0</v>
      </c>
      <c r="D481" s="68">
        <f>IF(C481&lt;=(G480+B481),C481,IF(C481&lt;=(G480+B481+I480),B481+G480,IF(C481&gt;SUM(G480+B481+I480),(C481-I480),0)))</f>
        <v>0</v>
      </c>
      <c r="E481" s="67">
        <f t="shared" si="121"/>
        <v>0</v>
      </c>
      <c r="F481" s="69">
        <f t="shared" si="122"/>
        <v>0</v>
      </c>
      <c r="G481" s="156">
        <f>IF(J480="b",0,IF(J481="b",(G480+F481),IF(J481="s",(($M$6)+F481),IF(J481="j",$M$6,IF(J480="e",0,IF(J481="z",0,(G480+F481)))))))</f>
        <v>0</v>
      </c>
      <c r="H481" s="157">
        <f>IF(G481&lt;=0,0,IF(J481="s",0,IF(J481="n",0,IF(J481="e",(G481*$L$480),IF(J481="b",0,IF(J481="j",0,SUM(G481*$L$480)))))))</f>
        <v>0</v>
      </c>
      <c r="I481" s="157">
        <f t="shared" ref="I481:I491" si="123">IF(J480="b",0,IF(J481="s",(Surcharge-E481+H481),IF(J481="j",0,IF(J480="e",0,(I480-E481+H481)))))</f>
        <v>0</v>
      </c>
      <c r="J481" s="35" t="s">
        <v>26</v>
      </c>
      <c r="L481" s="99" t="s">
        <v>26</v>
      </c>
    </row>
    <row r="482" spans="1:12" ht="13.8" thickBot="1" x14ac:dyDescent="0.3">
      <c r="A482" s="3" t="s">
        <v>9</v>
      </c>
      <c r="B482" s="67">
        <f>arrears!B315</f>
        <v>0</v>
      </c>
      <c r="C482" s="67">
        <f>arrears!C315</f>
        <v>0</v>
      </c>
      <c r="D482" s="68">
        <f t="shared" ref="D482:D491" si="124">IF(C482&lt;=(G481+B482),C482,IF(C482&lt;=(G481+B482+I481),B482+G481,IF(C482&gt;SUM(G481+B482+I481),(C482-I481),0)))</f>
        <v>0</v>
      </c>
      <c r="E482" s="67">
        <f t="shared" si="121"/>
        <v>0</v>
      </c>
      <c r="F482" s="69">
        <f t="shared" si="122"/>
        <v>0</v>
      </c>
      <c r="G482" s="156">
        <f t="shared" ref="G482:G491" si="125">IF(J481="b",0,IF(J482="b",(G481+F482),IF(J482="s",(($M$6)+F482),IF(J482="j",$M$6,IF(J481="e",0,IF(J482="z",0,(G481+F482)))))))</f>
        <v>0</v>
      </c>
      <c r="H482" s="157">
        <f t="shared" ref="H482:H491" si="126">IF(G482&lt;=0,0,IF(J482="s",0,IF(J482="n",0,IF(J482="e",(G482*$L$480),IF(J482="b",0,IF(J482="j",0,SUM(G482*$L$480)))))))</f>
        <v>0</v>
      </c>
      <c r="I482" s="157">
        <f t="shared" si="123"/>
        <v>0</v>
      </c>
      <c r="L482" s="99" t="s">
        <v>26</v>
      </c>
    </row>
    <row r="483" spans="1:12" ht="13.8" thickBot="1" x14ac:dyDescent="0.3">
      <c r="A483" s="3" t="s">
        <v>10</v>
      </c>
      <c r="B483" s="67">
        <f>arrears!B316</f>
        <v>0</v>
      </c>
      <c r="C483" s="67">
        <f>arrears!C316</f>
        <v>0</v>
      </c>
      <c r="D483" s="68">
        <f t="shared" si="124"/>
        <v>0</v>
      </c>
      <c r="E483" s="67">
        <f t="shared" si="121"/>
        <v>0</v>
      </c>
      <c r="F483" s="69">
        <f t="shared" si="122"/>
        <v>0</v>
      </c>
      <c r="G483" s="156">
        <f t="shared" si="125"/>
        <v>0</v>
      </c>
      <c r="H483" s="157">
        <f t="shared" si="126"/>
        <v>0</v>
      </c>
      <c r="I483" s="157">
        <f t="shared" si="123"/>
        <v>0</v>
      </c>
      <c r="L483" s="99" t="s">
        <v>26</v>
      </c>
    </row>
    <row r="484" spans="1:12" ht="13.8" thickBot="1" x14ac:dyDescent="0.3">
      <c r="A484" s="3" t="s">
        <v>11</v>
      </c>
      <c r="B484" s="67">
        <f>arrears!B317</f>
        <v>0</v>
      </c>
      <c r="C484" s="67">
        <f>arrears!C317</f>
        <v>0</v>
      </c>
      <c r="D484" s="68">
        <f t="shared" si="124"/>
        <v>0</v>
      </c>
      <c r="E484" s="67">
        <f t="shared" si="121"/>
        <v>0</v>
      </c>
      <c r="F484" s="69">
        <f t="shared" si="122"/>
        <v>0</v>
      </c>
      <c r="G484" s="156">
        <f t="shared" si="125"/>
        <v>0</v>
      </c>
      <c r="H484" s="157">
        <f t="shared" si="126"/>
        <v>0</v>
      </c>
      <c r="I484" s="157">
        <f t="shared" si="123"/>
        <v>0</v>
      </c>
      <c r="L484" s="99" t="s">
        <v>26</v>
      </c>
    </row>
    <row r="485" spans="1:12" ht="13.8" thickBot="1" x14ac:dyDescent="0.3">
      <c r="A485" s="3" t="s">
        <v>12</v>
      </c>
      <c r="B485" s="67">
        <f>arrears!B318</f>
        <v>0</v>
      </c>
      <c r="C485" s="67">
        <f>arrears!C318</f>
        <v>0</v>
      </c>
      <c r="D485" s="68">
        <f t="shared" si="124"/>
        <v>0</v>
      </c>
      <c r="E485" s="67">
        <f t="shared" si="121"/>
        <v>0</v>
      </c>
      <c r="F485" s="69">
        <f t="shared" si="122"/>
        <v>0</v>
      </c>
      <c r="G485" s="156">
        <f t="shared" si="125"/>
        <v>0</v>
      </c>
      <c r="H485" s="157">
        <f t="shared" si="126"/>
        <v>0</v>
      </c>
      <c r="I485" s="157">
        <f t="shared" si="123"/>
        <v>0</v>
      </c>
      <c r="L485" s="99" t="s">
        <v>36</v>
      </c>
    </row>
    <row r="486" spans="1:12" ht="13.8" thickBot="1" x14ac:dyDescent="0.3">
      <c r="A486" s="3" t="s">
        <v>13</v>
      </c>
      <c r="B486" s="67">
        <f>arrears!B319</f>
        <v>0</v>
      </c>
      <c r="C486" s="67">
        <f>arrears!C319</f>
        <v>0</v>
      </c>
      <c r="D486" s="68">
        <f t="shared" si="124"/>
        <v>0</v>
      </c>
      <c r="E486" s="67">
        <f t="shared" si="121"/>
        <v>0</v>
      </c>
      <c r="F486" s="69">
        <f t="shared" si="122"/>
        <v>0</v>
      </c>
      <c r="G486" s="156">
        <f t="shared" si="125"/>
        <v>0</v>
      </c>
      <c r="H486" s="157">
        <f t="shared" si="126"/>
        <v>0</v>
      </c>
      <c r="I486" s="157">
        <f t="shared" si="123"/>
        <v>0</v>
      </c>
      <c r="L486" s="99" t="s">
        <v>26</v>
      </c>
    </row>
    <row r="487" spans="1:12" ht="13.8" thickBot="1" x14ac:dyDescent="0.3">
      <c r="A487" s="3" t="s">
        <v>14</v>
      </c>
      <c r="B487" s="67">
        <f>arrears!B320</f>
        <v>0</v>
      </c>
      <c r="C487" s="67">
        <f>arrears!C320</f>
        <v>0</v>
      </c>
      <c r="D487" s="68">
        <f t="shared" si="124"/>
        <v>0</v>
      </c>
      <c r="E487" s="67">
        <f t="shared" si="121"/>
        <v>0</v>
      </c>
      <c r="F487" s="69">
        <f t="shared" si="122"/>
        <v>0</v>
      </c>
      <c r="G487" s="156">
        <f t="shared" si="125"/>
        <v>0</v>
      </c>
      <c r="H487" s="157">
        <f t="shared" si="126"/>
        <v>0</v>
      </c>
      <c r="I487" s="157">
        <f t="shared" si="123"/>
        <v>0</v>
      </c>
      <c r="L487" s="99" t="s">
        <v>26</v>
      </c>
    </row>
    <row r="488" spans="1:12" ht="13.8" thickBot="1" x14ac:dyDescent="0.3">
      <c r="A488" s="3" t="s">
        <v>15</v>
      </c>
      <c r="B488" s="67">
        <f>arrears!B321</f>
        <v>0</v>
      </c>
      <c r="C488" s="67">
        <f>arrears!C321</f>
        <v>0</v>
      </c>
      <c r="D488" s="68">
        <f t="shared" si="124"/>
        <v>0</v>
      </c>
      <c r="E488" s="67">
        <f t="shared" si="121"/>
        <v>0</v>
      </c>
      <c r="F488" s="69">
        <f t="shared" si="122"/>
        <v>0</v>
      </c>
      <c r="G488" s="156">
        <f t="shared" si="125"/>
        <v>0</v>
      </c>
      <c r="H488" s="157">
        <f t="shared" si="126"/>
        <v>0</v>
      </c>
      <c r="I488" s="157">
        <f t="shared" si="123"/>
        <v>0</v>
      </c>
      <c r="L488" s="99" t="s">
        <v>26</v>
      </c>
    </row>
    <row r="489" spans="1:12" ht="13.8" thickBot="1" x14ac:dyDescent="0.3">
      <c r="A489" s="3" t="s">
        <v>16</v>
      </c>
      <c r="B489" s="67">
        <f>arrears!B322</f>
        <v>0</v>
      </c>
      <c r="C489" s="67">
        <f>arrears!C322</f>
        <v>0</v>
      </c>
      <c r="D489" s="68">
        <f t="shared" si="124"/>
        <v>0</v>
      </c>
      <c r="E489" s="67">
        <f t="shared" si="121"/>
        <v>0</v>
      </c>
      <c r="F489" s="69">
        <f t="shared" si="122"/>
        <v>0</v>
      </c>
      <c r="G489" s="156">
        <f t="shared" si="125"/>
        <v>0</v>
      </c>
      <c r="H489" s="157">
        <f t="shared" si="126"/>
        <v>0</v>
      </c>
      <c r="I489" s="157">
        <f t="shared" si="123"/>
        <v>0</v>
      </c>
      <c r="L489" s="99" t="s">
        <v>26</v>
      </c>
    </row>
    <row r="490" spans="1:12" ht="13.8" thickBot="1" x14ac:dyDescent="0.3">
      <c r="A490" s="3" t="s">
        <v>17</v>
      </c>
      <c r="B490" s="67">
        <f>arrears!B323</f>
        <v>0</v>
      </c>
      <c r="C490" s="67">
        <f>arrears!C323</f>
        <v>0</v>
      </c>
      <c r="D490" s="68">
        <f t="shared" si="124"/>
        <v>0</v>
      </c>
      <c r="E490" s="67">
        <f t="shared" si="121"/>
        <v>0</v>
      </c>
      <c r="F490" s="69">
        <f t="shared" si="122"/>
        <v>0</v>
      </c>
      <c r="G490" s="156">
        <f t="shared" si="125"/>
        <v>0</v>
      </c>
      <c r="H490" s="157">
        <f t="shared" si="126"/>
        <v>0</v>
      </c>
      <c r="I490" s="157">
        <f t="shared" si="123"/>
        <v>0</v>
      </c>
      <c r="L490" s="99" t="s">
        <v>26</v>
      </c>
    </row>
    <row r="491" spans="1:12" ht="13.8" thickBot="1" x14ac:dyDescent="0.3">
      <c r="A491" s="3" t="s">
        <v>18</v>
      </c>
      <c r="B491" s="67">
        <f>arrears!B324</f>
        <v>0</v>
      </c>
      <c r="C491" s="67">
        <f>arrears!C324</f>
        <v>0</v>
      </c>
      <c r="D491" s="68">
        <f t="shared" si="124"/>
        <v>0</v>
      </c>
      <c r="E491" s="67">
        <f t="shared" si="121"/>
        <v>0</v>
      </c>
      <c r="F491" s="69">
        <f t="shared" si="122"/>
        <v>0</v>
      </c>
      <c r="G491" s="156">
        <f t="shared" si="125"/>
        <v>0</v>
      </c>
      <c r="H491" s="157">
        <f t="shared" si="126"/>
        <v>0</v>
      </c>
      <c r="I491" s="157">
        <f t="shared" si="123"/>
        <v>0</v>
      </c>
      <c r="L491" s="99" t="s">
        <v>26</v>
      </c>
    </row>
    <row r="492" spans="1:12" ht="13.8" thickBot="1" x14ac:dyDescent="0.3">
      <c r="A492" s="7" t="s">
        <v>19</v>
      </c>
      <c r="B492" s="72">
        <f>SUM(B480:B491)</f>
        <v>0</v>
      </c>
      <c r="C492" s="72">
        <f>SUM(C480:C491)</f>
        <v>0</v>
      </c>
      <c r="D492" s="72">
        <f>SUM(D480:D491)</f>
        <v>0</v>
      </c>
      <c r="E492" s="73">
        <f>SUM(E480:E491)</f>
        <v>0</v>
      </c>
      <c r="F492" s="73">
        <f>SUM(F480:F491)</f>
        <v>0</v>
      </c>
      <c r="G492" s="71" t="s">
        <v>26</v>
      </c>
      <c r="H492" s="74">
        <f xml:space="preserve"> SUM(H480:H491)</f>
        <v>0</v>
      </c>
      <c r="I492" s="75"/>
    </row>
    <row r="493" spans="1:12" x14ac:dyDescent="0.25">
      <c r="A493" s="207">
        <f>arrears!A326</f>
        <v>0</v>
      </c>
    </row>
    <row r="494" spans="1:12" x14ac:dyDescent="0.25">
      <c r="A494" s="207">
        <f>arrears!A327</f>
        <v>0</v>
      </c>
    </row>
    <row r="495" spans="1:12" x14ac:dyDescent="0.25">
      <c r="A495" s="207">
        <f>arrears!A328</f>
        <v>0</v>
      </c>
    </row>
    <row r="496" spans="1:12" x14ac:dyDescent="0.25">
      <c r="A496" s="207">
        <f>arrears!A329</f>
        <v>0</v>
      </c>
    </row>
    <row r="497" spans="1:12" x14ac:dyDescent="0.25">
      <c r="A497" s="18"/>
      <c r="B497" s="18"/>
      <c r="C497" s="18"/>
      <c r="D497" s="18"/>
      <c r="E497" s="18"/>
      <c r="F497" s="17"/>
      <c r="G497" s="18"/>
      <c r="H497" s="18"/>
      <c r="I497" s="17"/>
    </row>
    <row r="498" spans="1:12" x14ac:dyDescent="0.25">
      <c r="A498" s="18"/>
      <c r="B498" s="18"/>
      <c r="C498" s="18"/>
      <c r="D498" s="18"/>
      <c r="E498" s="18"/>
      <c r="F498" s="17"/>
      <c r="G498" s="18"/>
      <c r="H498" s="18"/>
      <c r="I498" s="17"/>
    </row>
    <row r="499" spans="1:12" x14ac:dyDescent="0.25">
      <c r="A499" s="18"/>
      <c r="B499" s="21" t="s">
        <v>0</v>
      </c>
      <c r="C499" s="96" t="str">
        <f>$C$3</f>
        <v xml:space="preserve"> </v>
      </c>
      <c r="D499" s="19"/>
      <c r="E499" s="19"/>
      <c r="F499" s="6" t="s">
        <v>53</v>
      </c>
      <c r="G499" s="96" t="str">
        <f>$G$3</f>
        <v xml:space="preserve"> </v>
      </c>
      <c r="H499" s="18"/>
      <c r="I499" s="17"/>
    </row>
    <row r="500" spans="1:12" x14ac:dyDescent="0.25">
      <c r="A500" s="18"/>
      <c r="B500" s="21" t="s">
        <v>1</v>
      </c>
      <c r="C500" s="96" t="str">
        <f>$C$4</f>
        <v xml:space="preserve"> </v>
      </c>
      <c r="D500" s="19"/>
      <c r="E500" s="19"/>
      <c r="F500" s="21" t="s">
        <v>26</v>
      </c>
      <c r="G500" s="19" t="s">
        <v>26</v>
      </c>
      <c r="H500" s="18"/>
      <c r="I500" s="17"/>
    </row>
    <row r="501" spans="1:12" x14ac:dyDescent="0.25">
      <c r="A501" s="18"/>
      <c r="B501" s="18"/>
      <c r="C501" s="18"/>
      <c r="D501" s="18"/>
      <c r="E501" s="18"/>
      <c r="F501" s="17" t="s">
        <v>26</v>
      </c>
      <c r="G501" s="18"/>
      <c r="H501" s="18"/>
      <c r="I501" s="17"/>
    </row>
    <row r="502" spans="1:12" ht="13.8" thickBot="1" x14ac:dyDescent="0.3">
      <c r="A502" s="18"/>
      <c r="B502" s="18"/>
      <c r="C502" s="18"/>
      <c r="D502" s="18"/>
      <c r="E502" s="18"/>
      <c r="F502" s="18"/>
      <c r="G502" s="18"/>
      <c r="H502" s="18"/>
      <c r="I502" s="17"/>
    </row>
    <row r="503" spans="1:12" ht="13.8" thickBot="1" x14ac:dyDescent="0.3">
      <c r="A503" s="4" t="s">
        <v>2</v>
      </c>
      <c r="B503" s="66" t="str">
        <f>arrears!G311</f>
        <v xml:space="preserve"> </v>
      </c>
      <c r="C503" s="12" t="s">
        <v>35</v>
      </c>
      <c r="D503" s="12" t="s">
        <v>5</v>
      </c>
      <c r="E503" s="12" t="s">
        <v>5</v>
      </c>
      <c r="F503" s="12" t="s">
        <v>46</v>
      </c>
      <c r="G503" s="12" t="s">
        <v>29</v>
      </c>
      <c r="H503" s="14" t="s">
        <v>27</v>
      </c>
      <c r="I503" s="14" t="s">
        <v>29</v>
      </c>
      <c r="L503" s="215" t="s">
        <v>31</v>
      </c>
    </row>
    <row r="504" spans="1:12" ht="13.8" thickBot="1" x14ac:dyDescent="0.3">
      <c r="A504" s="4" t="s">
        <v>3</v>
      </c>
      <c r="B504" s="4" t="s">
        <v>4</v>
      </c>
      <c r="C504" s="13" t="s">
        <v>34</v>
      </c>
      <c r="D504" s="13" t="s">
        <v>30</v>
      </c>
      <c r="E504" s="13" t="s">
        <v>27</v>
      </c>
      <c r="F504" s="13" t="s">
        <v>47</v>
      </c>
      <c r="G504" s="13" t="s">
        <v>33</v>
      </c>
      <c r="H504" s="15" t="s">
        <v>34</v>
      </c>
      <c r="I504" s="15" t="s">
        <v>31</v>
      </c>
      <c r="L504" s="216" t="s">
        <v>124</v>
      </c>
    </row>
    <row r="505" spans="1:12" ht="13.8" thickBot="1" x14ac:dyDescent="0.3">
      <c r="A505" s="3" t="s">
        <v>7</v>
      </c>
      <c r="B505" s="67">
        <f>arrears!G313</f>
        <v>0</v>
      </c>
      <c r="C505" s="67">
        <f>arrears!H313</f>
        <v>0</v>
      </c>
      <c r="D505" s="68">
        <f>IF(C505&lt;=(G491+B505),C505,IF(C505&lt;=SUM(G491+B505+I491),B505+G491,IF(C505&gt;=SUM(G491+B505+I491),(C505-I491),0)))</f>
        <v>0</v>
      </c>
      <c r="E505" s="67">
        <f t="shared" ref="E505:E516" si="127">IF(C505=D505,0,IF(C505&lt;&gt;D505,(C505-D505)))</f>
        <v>0</v>
      </c>
      <c r="F505" s="69">
        <f t="shared" ref="F505:F516" si="128">B505-D505</f>
        <v>0</v>
      </c>
      <c r="G505" s="70">
        <f>IF(J491="b",0,IF(J505="b",(G491+F505),IF(J505="s",(($M$6)+F505),IF(J505="j",$M$6,IF(J491="e",0,IF(J505="z",0,(G491+F505)))))))</f>
        <v>0</v>
      </c>
      <c r="H505" s="157">
        <f>IF(G505&lt;=0,0,IF(J505="s",0,IF(J505="n",0,IF(J505="e",(G505*$L$505),IF(J505="b",0,IF(J505="j",0,SUM(G505*$L$505)))))))</f>
        <v>0</v>
      </c>
      <c r="I505" s="71">
        <f>IF(J491="b",0,IF(J505="s",(Surcharge-E505+H505),IF(J505="j",0,IF(J491="e",0,(I491-E505+H505)))))</f>
        <v>0</v>
      </c>
      <c r="J505" s="35" t="s">
        <v>26</v>
      </c>
      <c r="L505" s="99">
        <f>IF(B503&lt;2012,0.01,0.005)</f>
        <v>5.0000000000000001E-3</v>
      </c>
    </row>
    <row r="506" spans="1:12" ht="13.8" thickBot="1" x14ac:dyDescent="0.3">
      <c r="A506" s="3" t="s">
        <v>8</v>
      </c>
      <c r="B506" s="67">
        <f>arrears!G314</f>
        <v>0</v>
      </c>
      <c r="C506" s="67">
        <f>arrears!H314</f>
        <v>0</v>
      </c>
      <c r="D506" s="68">
        <f>IF(C506&lt;=(G505+B506),C506,IF(C506&lt;=(G505+B506+I505),B506+G505,IF(C506&gt;SUM(G505+B506+I505),(C506-I505),0)))</f>
        <v>0</v>
      </c>
      <c r="E506" s="67">
        <f t="shared" si="127"/>
        <v>0</v>
      </c>
      <c r="F506" s="69">
        <f t="shared" si="128"/>
        <v>0</v>
      </c>
      <c r="G506" s="156">
        <f>IF(J505="b",0,IF(J506="b",(G505+F506),IF(J506="s",(($M$6)+F506),IF(J506="j",$M$6,IF(J505="e",0,IF(J506="z",0,(G505+F506)))))))</f>
        <v>0</v>
      </c>
      <c r="H506" s="157">
        <f>IF(G506&lt;=0,0,IF(J506="s",0,IF(J506="n",0,IF(J506="e",(G506*$L$505),IF(J506="b",0,IF(J506="j",0,SUM(G506*$L$505)))))))</f>
        <v>0</v>
      </c>
      <c r="I506" s="157">
        <f t="shared" ref="I506:I516" si="129">IF(J505="b",0,IF(J506="s",(Surcharge-E506+H506),IF(J506="j",0,IF(J505="e",0,(I505-E506+H506)))))</f>
        <v>0</v>
      </c>
      <c r="J506" s="35" t="s">
        <v>26</v>
      </c>
      <c r="L506" s="99" t="s">
        <v>26</v>
      </c>
    </row>
    <row r="507" spans="1:12" ht="13.8" thickBot="1" x14ac:dyDescent="0.3">
      <c r="A507" s="3" t="s">
        <v>9</v>
      </c>
      <c r="B507" s="67">
        <f>arrears!G315</f>
        <v>0</v>
      </c>
      <c r="C507" s="67">
        <f>arrears!H315</f>
        <v>0</v>
      </c>
      <c r="D507" s="68">
        <f t="shared" ref="D507:D516" si="130">IF(C507&lt;=(G506+B507),C507,IF(C507&lt;=(G506+B507+I506),B507+G506,IF(C507&gt;SUM(G506+B507+I506),(C507-I506),0)))</f>
        <v>0</v>
      </c>
      <c r="E507" s="67">
        <f t="shared" si="127"/>
        <v>0</v>
      </c>
      <c r="F507" s="69">
        <f t="shared" si="128"/>
        <v>0</v>
      </c>
      <c r="G507" s="156">
        <f t="shared" ref="G507:G516" si="131">IF(J506="b",0,IF(J507="b",(G506+F507),IF(J507="s",(($M$6)+F507),IF(J507="j",$M$6,IF(J506="e",0,IF(J507="z",0,(G506+F507)))))))</f>
        <v>0</v>
      </c>
      <c r="H507" s="157">
        <f t="shared" ref="H507:H516" si="132">IF(G507&lt;=0,0,IF(J507="s",0,IF(J507="n",0,IF(J507="e",(G507*$L$505),IF(J507="b",0,IF(J507="j",0,SUM(G507*$L$505)))))))</f>
        <v>0</v>
      </c>
      <c r="I507" s="157">
        <f t="shared" si="129"/>
        <v>0</v>
      </c>
      <c r="L507" s="99" t="s">
        <v>26</v>
      </c>
    </row>
    <row r="508" spans="1:12" ht="13.8" thickBot="1" x14ac:dyDescent="0.3">
      <c r="A508" s="3" t="s">
        <v>10</v>
      </c>
      <c r="B508" s="67">
        <f>arrears!G316</f>
        <v>0</v>
      </c>
      <c r="C508" s="67">
        <f>arrears!H316</f>
        <v>0</v>
      </c>
      <c r="D508" s="68">
        <f t="shared" si="130"/>
        <v>0</v>
      </c>
      <c r="E508" s="67">
        <f t="shared" si="127"/>
        <v>0</v>
      </c>
      <c r="F508" s="69">
        <f t="shared" si="128"/>
        <v>0</v>
      </c>
      <c r="G508" s="156">
        <f t="shared" si="131"/>
        <v>0</v>
      </c>
      <c r="H508" s="157">
        <f t="shared" si="132"/>
        <v>0</v>
      </c>
      <c r="I508" s="157">
        <f t="shared" si="129"/>
        <v>0</v>
      </c>
      <c r="L508" s="99" t="s">
        <v>26</v>
      </c>
    </row>
    <row r="509" spans="1:12" ht="13.8" thickBot="1" x14ac:dyDescent="0.3">
      <c r="A509" s="3" t="s">
        <v>11</v>
      </c>
      <c r="B509" s="67">
        <f>arrears!G317</f>
        <v>0</v>
      </c>
      <c r="C509" s="67">
        <f>arrears!H317</f>
        <v>0</v>
      </c>
      <c r="D509" s="68">
        <f t="shared" si="130"/>
        <v>0</v>
      </c>
      <c r="E509" s="67">
        <f t="shared" si="127"/>
        <v>0</v>
      </c>
      <c r="F509" s="69">
        <f t="shared" si="128"/>
        <v>0</v>
      </c>
      <c r="G509" s="156">
        <f t="shared" si="131"/>
        <v>0</v>
      </c>
      <c r="H509" s="157">
        <f t="shared" si="132"/>
        <v>0</v>
      </c>
      <c r="I509" s="157">
        <f t="shared" si="129"/>
        <v>0</v>
      </c>
      <c r="L509" s="99" t="s">
        <v>26</v>
      </c>
    </row>
    <row r="510" spans="1:12" ht="13.8" thickBot="1" x14ac:dyDescent="0.3">
      <c r="A510" s="3" t="s">
        <v>12</v>
      </c>
      <c r="B510" s="67">
        <f>arrears!G318</f>
        <v>0</v>
      </c>
      <c r="C510" s="67">
        <f>arrears!H318</f>
        <v>0</v>
      </c>
      <c r="D510" s="68">
        <f t="shared" si="130"/>
        <v>0</v>
      </c>
      <c r="E510" s="67">
        <f t="shared" si="127"/>
        <v>0</v>
      </c>
      <c r="F510" s="69">
        <f t="shared" si="128"/>
        <v>0</v>
      </c>
      <c r="G510" s="156">
        <f t="shared" si="131"/>
        <v>0</v>
      </c>
      <c r="H510" s="157">
        <f t="shared" si="132"/>
        <v>0</v>
      </c>
      <c r="I510" s="157">
        <f t="shared" si="129"/>
        <v>0</v>
      </c>
      <c r="L510" s="99" t="s">
        <v>26</v>
      </c>
    </row>
    <row r="511" spans="1:12" ht="13.8" thickBot="1" x14ac:dyDescent="0.3">
      <c r="A511" s="3" t="s">
        <v>13</v>
      </c>
      <c r="B511" s="67">
        <f>arrears!G319</f>
        <v>0</v>
      </c>
      <c r="C511" s="67">
        <f>arrears!H319</f>
        <v>0</v>
      </c>
      <c r="D511" s="68">
        <f t="shared" si="130"/>
        <v>0</v>
      </c>
      <c r="E511" s="67">
        <f t="shared" si="127"/>
        <v>0</v>
      </c>
      <c r="F511" s="69">
        <f t="shared" si="128"/>
        <v>0</v>
      </c>
      <c r="G511" s="156">
        <f t="shared" si="131"/>
        <v>0</v>
      </c>
      <c r="H511" s="157">
        <f t="shared" si="132"/>
        <v>0</v>
      </c>
      <c r="I511" s="157">
        <f t="shared" si="129"/>
        <v>0</v>
      </c>
      <c r="L511" s="99" t="s">
        <v>26</v>
      </c>
    </row>
    <row r="512" spans="1:12" ht="13.8" thickBot="1" x14ac:dyDescent="0.3">
      <c r="A512" s="3" t="s">
        <v>14</v>
      </c>
      <c r="B512" s="67">
        <f>arrears!G320</f>
        <v>0</v>
      </c>
      <c r="C512" s="67">
        <f>arrears!H320</f>
        <v>0</v>
      </c>
      <c r="D512" s="68">
        <f t="shared" si="130"/>
        <v>0</v>
      </c>
      <c r="E512" s="67">
        <f t="shared" si="127"/>
        <v>0</v>
      </c>
      <c r="F512" s="69">
        <f t="shared" si="128"/>
        <v>0</v>
      </c>
      <c r="G512" s="156">
        <f t="shared" si="131"/>
        <v>0</v>
      </c>
      <c r="H512" s="157">
        <f t="shared" si="132"/>
        <v>0</v>
      </c>
      <c r="I512" s="157">
        <f t="shared" si="129"/>
        <v>0</v>
      </c>
      <c r="L512" s="99" t="s">
        <v>26</v>
      </c>
    </row>
    <row r="513" spans="1:12" ht="13.8" thickBot="1" x14ac:dyDescent="0.3">
      <c r="A513" s="3" t="s">
        <v>15</v>
      </c>
      <c r="B513" s="67">
        <f>arrears!G321</f>
        <v>0</v>
      </c>
      <c r="C513" s="67">
        <f>arrears!H321</f>
        <v>0</v>
      </c>
      <c r="D513" s="68">
        <f t="shared" si="130"/>
        <v>0</v>
      </c>
      <c r="E513" s="67">
        <f t="shared" si="127"/>
        <v>0</v>
      </c>
      <c r="F513" s="69">
        <f t="shared" si="128"/>
        <v>0</v>
      </c>
      <c r="G513" s="156">
        <f t="shared" si="131"/>
        <v>0</v>
      </c>
      <c r="H513" s="157">
        <f t="shared" si="132"/>
        <v>0</v>
      </c>
      <c r="I513" s="157">
        <f t="shared" si="129"/>
        <v>0</v>
      </c>
      <c r="L513" s="99" t="s">
        <v>26</v>
      </c>
    </row>
    <row r="514" spans="1:12" ht="13.8" thickBot="1" x14ac:dyDescent="0.3">
      <c r="A514" s="3" t="s">
        <v>16</v>
      </c>
      <c r="B514" s="67">
        <f>arrears!G322</f>
        <v>0</v>
      </c>
      <c r="C514" s="67">
        <f>arrears!H322</f>
        <v>0</v>
      </c>
      <c r="D514" s="68">
        <f t="shared" si="130"/>
        <v>0</v>
      </c>
      <c r="E514" s="67">
        <f t="shared" si="127"/>
        <v>0</v>
      </c>
      <c r="F514" s="69">
        <f t="shared" si="128"/>
        <v>0</v>
      </c>
      <c r="G514" s="156">
        <f t="shared" si="131"/>
        <v>0</v>
      </c>
      <c r="H514" s="157">
        <f t="shared" si="132"/>
        <v>0</v>
      </c>
      <c r="I514" s="157">
        <f t="shared" si="129"/>
        <v>0</v>
      </c>
      <c r="L514" s="99" t="s">
        <v>26</v>
      </c>
    </row>
    <row r="515" spans="1:12" ht="13.8" thickBot="1" x14ac:dyDescent="0.3">
      <c r="A515" s="3" t="s">
        <v>17</v>
      </c>
      <c r="B515" s="67">
        <f>arrears!G323</f>
        <v>0</v>
      </c>
      <c r="C515" s="67">
        <f>arrears!H323</f>
        <v>0</v>
      </c>
      <c r="D515" s="68">
        <f t="shared" si="130"/>
        <v>0</v>
      </c>
      <c r="E515" s="67">
        <f t="shared" si="127"/>
        <v>0</v>
      </c>
      <c r="F515" s="69">
        <f t="shared" si="128"/>
        <v>0</v>
      </c>
      <c r="G515" s="156">
        <f t="shared" si="131"/>
        <v>0</v>
      </c>
      <c r="H515" s="157">
        <f t="shared" si="132"/>
        <v>0</v>
      </c>
      <c r="I515" s="157">
        <f t="shared" si="129"/>
        <v>0</v>
      </c>
      <c r="L515" s="99" t="s">
        <v>26</v>
      </c>
    </row>
    <row r="516" spans="1:12" ht="13.8" thickBot="1" x14ac:dyDescent="0.3">
      <c r="A516" s="3" t="s">
        <v>18</v>
      </c>
      <c r="B516" s="67">
        <f>arrears!G324</f>
        <v>0</v>
      </c>
      <c r="C516" s="67">
        <f>arrears!H324</f>
        <v>0</v>
      </c>
      <c r="D516" s="68">
        <f t="shared" si="130"/>
        <v>0</v>
      </c>
      <c r="E516" s="67">
        <f t="shared" si="127"/>
        <v>0</v>
      </c>
      <c r="F516" s="69">
        <f t="shared" si="128"/>
        <v>0</v>
      </c>
      <c r="G516" s="156">
        <f t="shared" si="131"/>
        <v>0</v>
      </c>
      <c r="H516" s="157">
        <f t="shared" si="132"/>
        <v>0</v>
      </c>
      <c r="I516" s="157">
        <f t="shared" si="129"/>
        <v>0</v>
      </c>
      <c r="J516" s="35" t="s">
        <v>26</v>
      </c>
      <c r="L516" s="99" t="s">
        <v>26</v>
      </c>
    </row>
    <row r="517" spans="1:12" ht="13.8" thickBot="1" x14ac:dyDescent="0.3">
      <c r="A517" s="7" t="s">
        <v>19</v>
      </c>
      <c r="B517" s="72">
        <f>SUM(B505:B516)</f>
        <v>0</v>
      </c>
      <c r="C517" s="72">
        <f>SUM(C505:C516)</f>
        <v>0</v>
      </c>
      <c r="D517" s="72">
        <f>SUM(D505:D516)</f>
        <v>0</v>
      </c>
      <c r="E517" s="73">
        <f>SUM(E505:E516)</f>
        <v>0</v>
      </c>
      <c r="F517" s="73">
        <f>SUM(F505:F516)</f>
        <v>0</v>
      </c>
      <c r="G517" s="71" t="s">
        <v>26</v>
      </c>
      <c r="H517" s="74">
        <f xml:space="preserve"> SUM(H505:H516)</f>
        <v>0</v>
      </c>
      <c r="I517" s="75"/>
    </row>
    <row r="518" spans="1:12" x14ac:dyDescent="0.25">
      <c r="A518" s="181">
        <f>arrears!F326</f>
        <v>0</v>
      </c>
    </row>
    <row r="519" spans="1:12" x14ac:dyDescent="0.25">
      <c r="A519" s="181">
        <f>arrears!F327</f>
        <v>0</v>
      </c>
    </row>
    <row r="520" spans="1:12" x14ac:dyDescent="0.25">
      <c r="A520" s="181">
        <f>arrears!F328</f>
        <v>0</v>
      </c>
    </row>
    <row r="521" spans="1:12" ht="13.8" thickBot="1" x14ac:dyDescent="0.3">
      <c r="A521" s="181">
        <f>arrears!F329</f>
        <v>0</v>
      </c>
    </row>
    <row r="522" spans="1:12" ht="13.8" thickBot="1" x14ac:dyDescent="0.3">
      <c r="A522" s="4" t="s">
        <v>2</v>
      </c>
      <c r="B522" s="66" t="str">
        <f>arrears!B330</f>
        <v xml:space="preserve"> </v>
      </c>
      <c r="C522" s="12" t="s">
        <v>35</v>
      </c>
      <c r="D522" s="12" t="s">
        <v>5</v>
      </c>
      <c r="E522" s="12" t="s">
        <v>5</v>
      </c>
      <c r="F522" s="12" t="s">
        <v>46</v>
      </c>
      <c r="G522" s="12" t="s">
        <v>29</v>
      </c>
      <c r="H522" s="14" t="s">
        <v>27</v>
      </c>
      <c r="I522" s="14" t="s">
        <v>29</v>
      </c>
      <c r="L522" s="215" t="s">
        <v>31</v>
      </c>
    </row>
    <row r="523" spans="1:12" ht="13.8" thickBot="1" x14ac:dyDescent="0.3">
      <c r="A523" s="4" t="s">
        <v>3</v>
      </c>
      <c r="B523" s="4" t="s">
        <v>4</v>
      </c>
      <c r="C523" s="13" t="s">
        <v>34</v>
      </c>
      <c r="D523" s="13" t="s">
        <v>30</v>
      </c>
      <c r="E523" s="13" t="s">
        <v>27</v>
      </c>
      <c r="F523" s="13" t="s">
        <v>47</v>
      </c>
      <c r="G523" s="13" t="s">
        <v>33</v>
      </c>
      <c r="H523" s="15" t="s">
        <v>34</v>
      </c>
      <c r="I523" s="15" t="s">
        <v>31</v>
      </c>
      <c r="L523" s="216" t="s">
        <v>124</v>
      </c>
    </row>
    <row r="524" spans="1:12" ht="13.8" thickBot="1" x14ac:dyDescent="0.3">
      <c r="A524" s="3" t="s">
        <v>7</v>
      </c>
      <c r="B524" s="67">
        <f>arrears!B332</f>
        <v>0</v>
      </c>
      <c r="C524" s="67">
        <f>arrears!C332</f>
        <v>0</v>
      </c>
      <c r="D524" s="68">
        <f>IF(C524&lt;=(G516+B524),C524,IF(C524&lt;=SUM(G516+B524+I516),B524+G516,IF(C524&gt;=SUM(G516+B524+I516),(C524-I516),0)))</f>
        <v>0</v>
      </c>
      <c r="E524" s="67">
        <f t="shared" ref="E524:E535" si="133">IF(C524=D524,0,IF(C524&lt;&gt;D524,(C524-D524)))</f>
        <v>0</v>
      </c>
      <c r="F524" s="69">
        <f t="shared" ref="F524:F535" si="134">B524-D524</f>
        <v>0</v>
      </c>
      <c r="G524" s="156">
        <f>IF(J516="b",0,IF(J524="b",(G516+F524),IF(J524="s",(($M$6)+F524),IF(J524="j",$M$6,IF(J516="e",0,IF(J524="z",0,(G516+F524)))))))</f>
        <v>0</v>
      </c>
      <c r="H524" s="157">
        <f>IF(G524&lt;=0,0,IF(J524="s",0,IF(J524="n",0,IF(J524="e",(G524*$L$524),IF(J524="b",0,IF(J524="j",0,SUM(G524*$L$524)))))))</f>
        <v>0</v>
      </c>
      <c r="I524" s="157">
        <f>IF(J516="b",0,IF(J524="s",(Surcharge-E524+H524),IF(J524="j",0,IF(J516="e",0,(I516-E524+H524)))))</f>
        <v>0</v>
      </c>
      <c r="J524" s="35" t="s">
        <v>26</v>
      </c>
      <c r="L524" s="99">
        <f>IF(B522&lt;2012,0.01,0.005)</f>
        <v>5.0000000000000001E-3</v>
      </c>
    </row>
    <row r="525" spans="1:12" ht="13.8" thickBot="1" x14ac:dyDescent="0.3">
      <c r="A525" s="3" t="s">
        <v>8</v>
      </c>
      <c r="B525" s="67">
        <f>arrears!B333</f>
        <v>0</v>
      </c>
      <c r="C525" s="67">
        <f>arrears!C333</f>
        <v>0</v>
      </c>
      <c r="D525" s="68">
        <f>IF(C525&lt;=(G524+B525),C525,IF(C525&lt;=(G524+B525+I524),B525+G524,IF(C525&gt;SUM(G524+B525+I524),(C525-I524),0)))</f>
        <v>0</v>
      </c>
      <c r="E525" s="67">
        <f t="shared" si="133"/>
        <v>0</v>
      </c>
      <c r="F525" s="69">
        <f t="shared" si="134"/>
        <v>0</v>
      </c>
      <c r="G525" s="156">
        <f>IF(J524="b",0,IF(J525="b",(G524+F525),IF(J525="s",(($M$6)+F525),IF(J525="j",$M$6,IF(J524="e",0,IF(J525="z",0,(G524+F525)))))))</f>
        <v>0</v>
      </c>
      <c r="H525" s="157">
        <f>IF(G525&lt;=0,0,IF(J525="s",0,IF(J525="n",0,IF(J525="e",(G525*$L$524),IF(J525="b",0,IF(J525="j",0,SUM(G525*$L$524)))))))</f>
        <v>0</v>
      </c>
      <c r="I525" s="157">
        <f t="shared" ref="I525:I535" si="135">IF(J524="b",0,IF(J525="s",(Surcharge-E525+H525),IF(J525="j",0,IF(J524="e",0,(I524-E525+H525)))))</f>
        <v>0</v>
      </c>
      <c r="J525" s="35" t="s">
        <v>26</v>
      </c>
      <c r="L525" s="99" t="s">
        <v>26</v>
      </c>
    </row>
    <row r="526" spans="1:12" ht="13.8" thickBot="1" x14ac:dyDescent="0.3">
      <c r="A526" s="3" t="s">
        <v>9</v>
      </c>
      <c r="B526" s="67">
        <f>arrears!B334</f>
        <v>0</v>
      </c>
      <c r="C526" s="67">
        <f>arrears!C334</f>
        <v>0</v>
      </c>
      <c r="D526" s="68">
        <f t="shared" ref="D526:D535" si="136">IF(C526&lt;=(G525+B526),C526,IF(C526&lt;=(G525+B526+I525),B526+G525,IF(C526&gt;SUM(G525+B526+I525),(C526-I525),0)))</f>
        <v>0</v>
      </c>
      <c r="E526" s="67">
        <f t="shared" si="133"/>
        <v>0</v>
      </c>
      <c r="F526" s="69">
        <f t="shared" si="134"/>
        <v>0</v>
      </c>
      <c r="G526" s="156">
        <f t="shared" ref="G526:G535" si="137">IF(J525="b",0,IF(J526="b",(G525+F526),IF(J526="s",(($M$6)+F526),IF(J526="j",$M$6,IF(J525="e",0,IF(J526="z",0,(G525+F526)))))))</f>
        <v>0</v>
      </c>
      <c r="H526" s="157">
        <f t="shared" ref="H526:H535" si="138">IF(G526&lt;=0,0,IF(J526="s",0,IF(J526="n",0,IF(J526="e",(G526*$L$524),IF(J526="b",0,IF(J526="j",0,SUM(G526*$L$524)))))))</f>
        <v>0</v>
      </c>
      <c r="I526" s="157">
        <f t="shared" si="135"/>
        <v>0</v>
      </c>
      <c r="L526" s="99" t="s">
        <v>26</v>
      </c>
    </row>
    <row r="527" spans="1:12" ht="13.8" thickBot="1" x14ac:dyDescent="0.3">
      <c r="A527" s="3" t="s">
        <v>10</v>
      </c>
      <c r="B527" s="67">
        <f>arrears!B335</f>
        <v>0</v>
      </c>
      <c r="C527" s="67">
        <f>arrears!C335</f>
        <v>0</v>
      </c>
      <c r="D527" s="68">
        <f t="shared" si="136"/>
        <v>0</v>
      </c>
      <c r="E527" s="67">
        <f t="shared" si="133"/>
        <v>0</v>
      </c>
      <c r="F527" s="69">
        <f t="shared" si="134"/>
        <v>0</v>
      </c>
      <c r="G527" s="156">
        <f t="shared" si="137"/>
        <v>0</v>
      </c>
      <c r="H527" s="157">
        <f t="shared" si="138"/>
        <v>0</v>
      </c>
      <c r="I527" s="157">
        <f t="shared" si="135"/>
        <v>0</v>
      </c>
      <c r="J527" s="35" t="s">
        <v>26</v>
      </c>
      <c r="L527" s="99" t="s">
        <v>26</v>
      </c>
    </row>
    <row r="528" spans="1:12" ht="13.8" thickBot="1" x14ac:dyDescent="0.3">
      <c r="A528" s="3" t="s">
        <v>11</v>
      </c>
      <c r="B528" s="67">
        <f>arrears!B336</f>
        <v>0</v>
      </c>
      <c r="C528" s="67">
        <f>arrears!C336</f>
        <v>0</v>
      </c>
      <c r="D528" s="68">
        <f t="shared" si="136"/>
        <v>0</v>
      </c>
      <c r="E528" s="67">
        <f t="shared" si="133"/>
        <v>0</v>
      </c>
      <c r="F528" s="69">
        <f t="shared" si="134"/>
        <v>0</v>
      </c>
      <c r="G528" s="156">
        <f t="shared" si="137"/>
        <v>0</v>
      </c>
      <c r="H528" s="157">
        <f t="shared" si="138"/>
        <v>0</v>
      </c>
      <c r="I528" s="157">
        <f t="shared" si="135"/>
        <v>0</v>
      </c>
      <c r="J528" s="35" t="s">
        <v>26</v>
      </c>
      <c r="L528" s="99" t="s">
        <v>26</v>
      </c>
    </row>
    <row r="529" spans="1:12" ht="13.8" thickBot="1" x14ac:dyDescent="0.3">
      <c r="A529" s="3" t="s">
        <v>12</v>
      </c>
      <c r="B529" s="67">
        <f>arrears!B337</f>
        <v>0</v>
      </c>
      <c r="C529" s="67">
        <f>arrears!C337</f>
        <v>0</v>
      </c>
      <c r="D529" s="68">
        <f t="shared" si="136"/>
        <v>0</v>
      </c>
      <c r="E529" s="67">
        <f t="shared" si="133"/>
        <v>0</v>
      </c>
      <c r="F529" s="69">
        <f t="shared" si="134"/>
        <v>0</v>
      </c>
      <c r="G529" s="156">
        <f t="shared" si="137"/>
        <v>0</v>
      </c>
      <c r="H529" s="157">
        <f t="shared" si="138"/>
        <v>0</v>
      </c>
      <c r="I529" s="157">
        <f t="shared" si="135"/>
        <v>0</v>
      </c>
      <c r="L529" s="99" t="s">
        <v>26</v>
      </c>
    </row>
    <row r="530" spans="1:12" ht="13.8" thickBot="1" x14ac:dyDescent="0.3">
      <c r="A530" s="3" t="s">
        <v>13</v>
      </c>
      <c r="B530" s="67">
        <f>arrears!B338</f>
        <v>0</v>
      </c>
      <c r="C530" s="67">
        <f>arrears!C338</f>
        <v>0</v>
      </c>
      <c r="D530" s="68">
        <f t="shared" si="136"/>
        <v>0</v>
      </c>
      <c r="E530" s="67">
        <f t="shared" si="133"/>
        <v>0</v>
      </c>
      <c r="F530" s="69">
        <f t="shared" si="134"/>
        <v>0</v>
      </c>
      <c r="G530" s="156">
        <f t="shared" si="137"/>
        <v>0</v>
      </c>
      <c r="H530" s="157">
        <f t="shared" si="138"/>
        <v>0</v>
      </c>
      <c r="I530" s="157">
        <f t="shared" si="135"/>
        <v>0</v>
      </c>
      <c r="L530" s="99" t="s">
        <v>26</v>
      </c>
    </row>
    <row r="531" spans="1:12" ht="13.8" thickBot="1" x14ac:dyDescent="0.3">
      <c r="A531" s="3" t="s">
        <v>14</v>
      </c>
      <c r="B531" s="67">
        <f>arrears!B339</f>
        <v>0</v>
      </c>
      <c r="C531" s="67">
        <f>arrears!C339</f>
        <v>0</v>
      </c>
      <c r="D531" s="68">
        <f t="shared" si="136"/>
        <v>0</v>
      </c>
      <c r="E531" s="67">
        <f t="shared" si="133"/>
        <v>0</v>
      </c>
      <c r="F531" s="69">
        <f t="shared" si="134"/>
        <v>0</v>
      </c>
      <c r="G531" s="156">
        <f t="shared" si="137"/>
        <v>0</v>
      </c>
      <c r="H531" s="157">
        <f t="shared" si="138"/>
        <v>0</v>
      </c>
      <c r="I531" s="157">
        <f t="shared" si="135"/>
        <v>0</v>
      </c>
      <c r="L531" s="99" t="s">
        <v>26</v>
      </c>
    </row>
    <row r="532" spans="1:12" ht="13.8" thickBot="1" x14ac:dyDescent="0.3">
      <c r="A532" s="3" t="s">
        <v>15</v>
      </c>
      <c r="B532" s="67">
        <f>arrears!B340</f>
        <v>0</v>
      </c>
      <c r="C532" s="67">
        <f>arrears!C340</f>
        <v>0</v>
      </c>
      <c r="D532" s="68">
        <f t="shared" si="136"/>
        <v>0</v>
      </c>
      <c r="E532" s="67">
        <f t="shared" si="133"/>
        <v>0</v>
      </c>
      <c r="F532" s="69">
        <f t="shared" si="134"/>
        <v>0</v>
      </c>
      <c r="G532" s="156">
        <f t="shared" si="137"/>
        <v>0</v>
      </c>
      <c r="H532" s="157">
        <f t="shared" si="138"/>
        <v>0</v>
      </c>
      <c r="I532" s="157">
        <f t="shared" si="135"/>
        <v>0</v>
      </c>
      <c r="L532" s="99" t="s">
        <v>26</v>
      </c>
    </row>
    <row r="533" spans="1:12" ht="13.8" thickBot="1" x14ac:dyDescent="0.3">
      <c r="A533" s="3" t="s">
        <v>16</v>
      </c>
      <c r="B533" s="67">
        <f>arrears!B341</f>
        <v>0</v>
      </c>
      <c r="C533" s="67">
        <f>arrears!C341</f>
        <v>0</v>
      </c>
      <c r="D533" s="68">
        <f t="shared" si="136"/>
        <v>0</v>
      </c>
      <c r="E533" s="67">
        <f t="shared" si="133"/>
        <v>0</v>
      </c>
      <c r="F533" s="69">
        <f t="shared" si="134"/>
        <v>0</v>
      </c>
      <c r="G533" s="156">
        <f t="shared" si="137"/>
        <v>0</v>
      </c>
      <c r="H533" s="157">
        <f t="shared" si="138"/>
        <v>0</v>
      </c>
      <c r="I533" s="157">
        <f t="shared" si="135"/>
        <v>0</v>
      </c>
      <c r="L533" s="99" t="s">
        <v>26</v>
      </c>
    </row>
    <row r="534" spans="1:12" ht="13.8" thickBot="1" x14ac:dyDescent="0.3">
      <c r="A534" s="3" t="s">
        <v>17</v>
      </c>
      <c r="B534" s="67">
        <f>arrears!B342</f>
        <v>0</v>
      </c>
      <c r="C534" s="67">
        <f>arrears!C342</f>
        <v>0</v>
      </c>
      <c r="D534" s="68">
        <f t="shared" si="136"/>
        <v>0</v>
      </c>
      <c r="E534" s="67">
        <f t="shared" si="133"/>
        <v>0</v>
      </c>
      <c r="F534" s="69">
        <f t="shared" si="134"/>
        <v>0</v>
      </c>
      <c r="G534" s="156">
        <f t="shared" si="137"/>
        <v>0</v>
      </c>
      <c r="H534" s="157">
        <f t="shared" si="138"/>
        <v>0</v>
      </c>
      <c r="I534" s="157">
        <f t="shared" si="135"/>
        <v>0</v>
      </c>
      <c r="L534" s="99" t="s">
        <v>26</v>
      </c>
    </row>
    <row r="535" spans="1:12" ht="13.8" thickBot="1" x14ac:dyDescent="0.3">
      <c r="A535" s="3" t="s">
        <v>18</v>
      </c>
      <c r="B535" s="67">
        <f>arrears!B343</f>
        <v>0</v>
      </c>
      <c r="C535" s="67">
        <f>arrears!C343</f>
        <v>0</v>
      </c>
      <c r="D535" s="68">
        <f t="shared" si="136"/>
        <v>0</v>
      </c>
      <c r="E535" s="67">
        <f t="shared" si="133"/>
        <v>0</v>
      </c>
      <c r="F535" s="69">
        <f t="shared" si="134"/>
        <v>0</v>
      </c>
      <c r="G535" s="156">
        <f t="shared" si="137"/>
        <v>0</v>
      </c>
      <c r="H535" s="157">
        <f t="shared" si="138"/>
        <v>0</v>
      </c>
      <c r="I535" s="157">
        <f t="shared" si="135"/>
        <v>0</v>
      </c>
      <c r="J535" s="35" t="s">
        <v>26</v>
      </c>
      <c r="L535" s="99" t="s">
        <v>26</v>
      </c>
    </row>
    <row r="536" spans="1:12" ht="13.8" thickBot="1" x14ac:dyDescent="0.3">
      <c r="A536" s="7" t="s">
        <v>19</v>
      </c>
      <c r="B536" s="72">
        <f>SUM(B524:B535)</f>
        <v>0</v>
      </c>
      <c r="C536" s="72">
        <f>SUM(C524:C535)</f>
        <v>0</v>
      </c>
      <c r="D536" s="72">
        <f>SUM(D524:D535)</f>
        <v>0</v>
      </c>
      <c r="E536" s="73">
        <f>SUM(E524:E535)</f>
        <v>0</v>
      </c>
      <c r="F536" s="73">
        <f>SUM(F524:F535)</f>
        <v>0</v>
      </c>
      <c r="G536" s="71" t="s">
        <v>26</v>
      </c>
      <c r="H536" s="74">
        <f xml:space="preserve"> SUM(H524:H535)</f>
        <v>0</v>
      </c>
      <c r="I536" s="75"/>
    </row>
    <row r="537" spans="1:12" x14ac:dyDescent="0.25">
      <c r="A537" s="207">
        <f>arrears!A345</f>
        <v>0</v>
      </c>
    </row>
    <row r="538" spans="1:12" x14ac:dyDescent="0.25">
      <c r="A538" s="207">
        <f>arrears!A346</f>
        <v>0</v>
      </c>
    </row>
    <row r="539" spans="1:12" x14ac:dyDescent="0.25">
      <c r="A539" s="207">
        <f>arrears!A347</f>
        <v>0</v>
      </c>
    </row>
    <row r="540" spans="1:12" ht="13.8" thickBot="1" x14ac:dyDescent="0.3">
      <c r="A540" s="207">
        <f>arrears!A348</f>
        <v>0</v>
      </c>
    </row>
    <row r="541" spans="1:12" ht="13.8" thickBot="1" x14ac:dyDescent="0.3">
      <c r="A541" s="4" t="s">
        <v>2</v>
      </c>
      <c r="B541" s="66" t="str">
        <f>arrears!G330</f>
        <v xml:space="preserve"> </v>
      </c>
      <c r="C541" s="12" t="s">
        <v>35</v>
      </c>
      <c r="D541" s="12" t="s">
        <v>5</v>
      </c>
      <c r="E541" s="12" t="s">
        <v>5</v>
      </c>
      <c r="F541" s="12" t="s">
        <v>46</v>
      </c>
      <c r="G541" s="12" t="s">
        <v>29</v>
      </c>
      <c r="H541" s="14" t="s">
        <v>27</v>
      </c>
      <c r="I541" s="14" t="s">
        <v>29</v>
      </c>
      <c r="L541" s="215" t="s">
        <v>31</v>
      </c>
    </row>
    <row r="542" spans="1:12" ht="13.8" thickBot="1" x14ac:dyDescent="0.3">
      <c r="A542" s="4" t="s">
        <v>3</v>
      </c>
      <c r="B542" s="4" t="s">
        <v>4</v>
      </c>
      <c r="C542" s="13" t="s">
        <v>34</v>
      </c>
      <c r="D542" s="13" t="s">
        <v>30</v>
      </c>
      <c r="E542" s="13" t="s">
        <v>27</v>
      </c>
      <c r="F542" s="13" t="s">
        <v>47</v>
      </c>
      <c r="G542" s="13" t="s">
        <v>33</v>
      </c>
      <c r="H542" s="15" t="s">
        <v>34</v>
      </c>
      <c r="I542" s="15" t="s">
        <v>31</v>
      </c>
      <c r="L542" s="216" t="s">
        <v>124</v>
      </c>
    </row>
    <row r="543" spans="1:12" ht="13.8" thickBot="1" x14ac:dyDescent="0.3">
      <c r="A543" s="3" t="s">
        <v>7</v>
      </c>
      <c r="B543" s="67">
        <f>arrears!G332</f>
        <v>0</v>
      </c>
      <c r="C543" s="67">
        <f>arrears!H332</f>
        <v>0</v>
      </c>
      <c r="D543" s="68">
        <f>IF(C543&lt;=(G535+B543),C543,IF(C543&lt;=SUM(G535+B543+I535),B543+G535,IF(C543&gt;=SUM(G535+B543+I535),(C543-I535),0)))</f>
        <v>0</v>
      </c>
      <c r="E543" s="67">
        <f t="shared" ref="E543:E554" si="139">IF(C543=D543,0,IF(C543&lt;&gt;D543,(C543-D543)))</f>
        <v>0</v>
      </c>
      <c r="F543" s="69">
        <f t="shared" ref="F543:F554" si="140">B543-D543</f>
        <v>0</v>
      </c>
      <c r="G543" s="156">
        <f>IF(J535="b",0,IF(J543="b",(G535+F543),IF(J543="s",(($M$6)+F543),IF(J543="j",$M$6,IF(J535="e",0,IF(J543="z",0,(G535+F543)))))))</f>
        <v>0</v>
      </c>
      <c r="H543" s="157">
        <f>IF(G543&lt;=0,0,IF(J543="s",0,IF(J543="n",0,IF(J543="e",(G543*$L$543),IF(J543="b",0,IF(J543="j",0,SUM(G543*$L$543)))))))</f>
        <v>0</v>
      </c>
      <c r="I543" s="157">
        <f>IF(J535="b",0,IF(J543="s",(Surcharge-E543+H543),IF(J543="j",0,IF(J535="e",0,(I535-E543+H543)))))</f>
        <v>0</v>
      </c>
      <c r="J543" s="35" t="s">
        <v>26</v>
      </c>
      <c r="L543" s="99">
        <f>IF(B541&lt;2012,0.01,0.005)</f>
        <v>5.0000000000000001E-3</v>
      </c>
    </row>
    <row r="544" spans="1:12" ht="13.8" thickBot="1" x14ac:dyDescent="0.3">
      <c r="A544" s="3" t="s">
        <v>8</v>
      </c>
      <c r="B544" s="67">
        <f>arrears!G333</f>
        <v>0</v>
      </c>
      <c r="C544" s="67">
        <f>arrears!H333</f>
        <v>0</v>
      </c>
      <c r="D544" s="68">
        <f>IF(C544&lt;=(G543+B544),C544,IF(C544&lt;=(G543+B544+I543),B544+G543,IF(C544&gt;SUM(G543+B544+I543),(C544-I543),0)))</f>
        <v>0</v>
      </c>
      <c r="E544" s="67">
        <f t="shared" si="139"/>
        <v>0</v>
      </c>
      <c r="F544" s="69">
        <f t="shared" si="140"/>
        <v>0</v>
      </c>
      <c r="G544" s="156">
        <f>IF(J543="b",0,IF(J544="b",(G543+F544),IF(J544="s",(($M$6)+F544),IF(J544="j",$M$6,IF(J543="e",0,IF(J544="z",0,(G543+F544)))))))</f>
        <v>0</v>
      </c>
      <c r="H544" s="157">
        <f>IF(G544&lt;=0,0,IF(J544="s",0,IF(J544="n",0,IF(J544="e",(G544*$L$543),IF(J544="b",0,IF(J544="j",0,SUM(G544*$L$543)))))))</f>
        <v>0</v>
      </c>
      <c r="I544" s="157">
        <f t="shared" ref="I544:I554" si="141">IF(J543="b",0,IF(J544="s",(Surcharge-E544+H544),IF(J544="j",0,IF(J543="e",0,(I543-E544+H544)))))</f>
        <v>0</v>
      </c>
      <c r="L544" s="99" t="s">
        <v>26</v>
      </c>
    </row>
    <row r="545" spans="1:12" ht="13.8" thickBot="1" x14ac:dyDescent="0.3">
      <c r="A545" s="3" t="s">
        <v>9</v>
      </c>
      <c r="B545" s="67">
        <f>arrears!G334</f>
        <v>0</v>
      </c>
      <c r="C545" s="67">
        <f>arrears!H334</f>
        <v>0</v>
      </c>
      <c r="D545" s="68">
        <f t="shared" ref="D545:D554" si="142">IF(C545&lt;=(G544+B545),C545,IF(C545&lt;=(G544+B545+I544),B545+G544,IF(C545&gt;SUM(G544+B545+I544),(C545-I544),0)))</f>
        <v>0</v>
      </c>
      <c r="E545" s="67">
        <f t="shared" si="139"/>
        <v>0</v>
      </c>
      <c r="F545" s="69">
        <f t="shared" si="140"/>
        <v>0</v>
      </c>
      <c r="G545" s="156">
        <f t="shared" ref="G545:G554" si="143">IF(J544="b",0,IF(J545="b",(G544+F545),IF(J545="s",(($M$6)+F545),IF(J545="j",$M$6,IF(J544="e",0,IF(J545="z",0,(G544+F545)))))))</f>
        <v>0</v>
      </c>
      <c r="H545" s="157">
        <f t="shared" ref="H545:H554" si="144">IF(G545&lt;=0,0,IF(J545="s",0,IF(J545="n",0,IF(J545="e",(G545*$L$543),IF(J545="b",0,IF(J545="j",0,SUM(G545*$L$543)))))))</f>
        <v>0</v>
      </c>
      <c r="I545" s="157">
        <f t="shared" si="141"/>
        <v>0</v>
      </c>
      <c r="L545" s="99" t="s">
        <v>26</v>
      </c>
    </row>
    <row r="546" spans="1:12" ht="13.8" thickBot="1" x14ac:dyDescent="0.3">
      <c r="A546" s="3" t="s">
        <v>10</v>
      </c>
      <c r="B546" s="67">
        <f>arrears!G335</f>
        <v>0</v>
      </c>
      <c r="C546" s="67">
        <f>arrears!H335</f>
        <v>0</v>
      </c>
      <c r="D546" s="68">
        <f t="shared" si="142"/>
        <v>0</v>
      </c>
      <c r="E546" s="67">
        <f t="shared" si="139"/>
        <v>0</v>
      </c>
      <c r="F546" s="69">
        <f t="shared" si="140"/>
        <v>0</v>
      </c>
      <c r="G546" s="156">
        <f t="shared" si="143"/>
        <v>0</v>
      </c>
      <c r="H546" s="157">
        <f t="shared" si="144"/>
        <v>0</v>
      </c>
      <c r="I546" s="157">
        <f t="shared" si="141"/>
        <v>0</v>
      </c>
      <c r="L546" s="99" t="s">
        <v>26</v>
      </c>
    </row>
    <row r="547" spans="1:12" ht="13.8" thickBot="1" x14ac:dyDescent="0.3">
      <c r="A547" s="3" t="s">
        <v>11</v>
      </c>
      <c r="B547" s="67">
        <f>arrears!G336</f>
        <v>0</v>
      </c>
      <c r="C547" s="67">
        <f>arrears!H336</f>
        <v>0</v>
      </c>
      <c r="D547" s="68">
        <f t="shared" si="142"/>
        <v>0</v>
      </c>
      <c r="E547" s="67">
        <f t="shared" si="139"/>
        <v>0</v>
      </c>
      <c r="F547" s="69">
        <f t="shared" si="140"/>
        <v>0</v>
      </c>
      <c r="G547" s="156">
        <f t="shared" si="143"/>
        <v>0</v>
      </c>
      <c r="H547" s="157">
        <f t="shared" si="144"/>
        <v>0</v>
      </c>
      <c r="I547" s="157">
        <f t="shared" si="141"/>
        <v>0</v>
      </c>
      <c r="L547" s="99" t="s">
        <v>26</v>
      </c>
    </row>
    <row r="548" spans="1:12" ht="13.8" thickBot="1" x14ac:dyDescent="0.3">
      <c r="A548" s="3" t="s">
        <v>12</v>
      </c>
      <c r="B548" s="67">
        <f>arrears!G337</f>
        <v>0</v>
      </c>
      <c r="C548" s="67">
        <f>arrears!H337</f>
        <v>0</v>
      </c>
      <c r="D548" s="68">
        <f t="shared" si="142"/>
        <v>0</v>
      </c>
      <c r="E548" s="67">
        <f t="shared" si="139"/>
        <v>0</v>
      </c>
      <c r="F548" s="69">
        <f t="shared" si="140"/>
        <v>0</v>
      </c>
      <c r="G548" s="156">
        <f t="shared" si="143"/>
        <v>0</v>
      </c>
      <c r="H548" s="157">
        <f t="shared" si="144"/>
        <v>0</v>
      </c>
      <c r="I548" s="157">
        <f t="shared" si="141"/>
        <v>0</v>
      </c>
      <c r="L548" s="99" t="s">
        <v>26</v>
      </c>
    </row>
    <row r="549" spans="1:12" ht="13.8" thickBot="1" x14ac:dyDescent="0.3">
      <c r="A549" s="3" t="s">
        <v>13</v>
      </c>
      <c r="B549" s="67">
        <f>arrears!G338</f>
        <v>0</v>
      </c>
      <c r="C549" s="67">
        <f>arrears!H338</f>
        <v>0</v>
      </c>
      <c r="D549" s="68">
        <f t="shared" si="142"/>
        <v>0</v>
      </c>
      <c r="E549" s="67">
        <f t="shared" si="139"/>
        <v>0</v>
      </c>
      <c r="F549" s="69">
        <f t="shared" si="140"/>
        <v>0</v>
      </c>
      <c r="G549" s="156">
        <f t="shared" si="143"/>
        <v>0</v>
      </c>
      <c r="H549" s="157">
        <f t="shared" si="144"/>
        <v>0</v>
      </c>
      <c r="I549" s="157">
        <f t="shared" si="141"/>
        <v>0</v>
      </c>
      <c r="L549" s="99" t="s">
        <v>26</v>
      </c>
    </row>
    <row r="550" spans="1:12" ht="13.8" thickBot="1" x14ac:dyDescent="0.3">
      <c r="A550" s="3" t="s">
        <v>14</v>
      </c>
      <c r="B550" s="67">
        <f>arrears!G339</f>
        <v>0</v>
      </c>
      <c r="C550" s="67">
        <f>arrears!H339</f>
        <v>0</v>
      </c>
      <c r="D550" s="68">
        <f t="shared" si="142"/>
        <v>0</v>
      </c>
      <c r="E550" s="67">
        <f t="shared" si="139"/>
        <v>0</v>
      </c>
      <c r="F550" s="69">
        <f t="shared" si="140"/>
        <v>0</v>
      </c>
      <c r="G550" s="156">
        <f t="shared" si="143"/>
        <v>0</v>
      </c>
      <c r="H550" s="157">
        <f t="shared" si="144"/>
        <v>0</v>
      </c>
      <c r="I550" s="157">
        <f t="shared" si="141"/>
        <v>0</v>
      </c>
      <c r="L550" s="99" t="s">
        <v>26</v>
      </c>
    </row>
    <row r="551" spans="1:12" ht="13.8" thickBot="1" x14ac:dyDescent="0.3">
      <c r="A551" s="3" t="s">
        <v>15</v>
      </c>
      <c r="B551" s="67">
        <f>arrears!G340</f>
        <v>0</v>
      </c>
      <c r="C551" s="67">
        <f>arrears!H340</f>
        <v>0</v>
      </c>
      <c r="D551" s="68">
        <f t="shared" si="142"/>
        <v>0</v>
      </c>
      <c r="E551" s="67">
        <f t="shared" si="139"/>
        <v>0</v>
      </c>
      <c r="F551" s="69">
        <f t="shared" si="140"/>
        <v>0</v>
      </c>
      <c r="G551" s="156">
        <f t="shared" si="143"/>
        <v>0</v>
      </c>
      <c r="H551" s="157">
        <f t="shared" si="144"/>
        <v>0</v>
      </c>
      <c r="I551" s="157">
        <f t="shared" si="141"/>
        <v>0</v>
      </c>
      <c r="L551" s="99" t="s">
        <v>26</v>
      </c>
    </row>
    <row r="552" spans="1:12" ht="13.8" thickBot="1" x14ac:dyDescent="0.3">
      <c r="A552" s="3" t="s">
        <v>16</v>
      </c>
      <c r="B552" s="67">
        <f>arrears!G341</f>
        <v>0</v>
      </c>
      <c r="C552" s="67">
        <f>arrears!H341</f>
        <v>0</v>
      </c>
      <c r="D552" s="68">
        <f t="shared" si="142"/>
        <v>0</v>
      </c>
      <c r="E552" s="67">
        <f t="shared" si="139"/>
        <v>0</v>
      </c>
      <c r="F552" s="69">
        <f t="shared" si="140"/>
        <v>0</v>
      </c>
      <c r="G552" s="156">
        <f t="shared" si="143"/>
        <v>0</v>
      </c>
      <c r="H552" s="157">
        <f t="shared" si="144"/>
        <v>0</v>
      </c>
      <c r="I552" s="157">
        <f t="shared" si="141"/>
        <v>0</v>
      </c>
      <c r="L552" s="99" t="s">
        <v>26</v>
      </c>
    </row>
    <row r="553" spans="1:12" ht="13.8" thickBot="1" x14ac:dyDescent="0.3">
      <c r="A553" s="3" t="s">
        <v>17</v>
      </c>
      <c r="B553" s="67">
        <f>arrears!G342</f>
        <v>0</v>
      </c>
      <c r="C553" s="67">
        <f>arrears!H342</f>
        <v>0</v>
      </c>
      <c r="D553" s="68">
        <f t="shared" si="142"/>
        <v>0</v>
      </c>
      <c r="E553" s="67">
        <f t="shared" si="139"/>
        <v>0</v>
      </c>
      <c r="F553" s="69">
        <f t="shared" si="140"/>
        <v>0</v>
      </c>
      <c r="G553" s="156">
        <f t="shared" si="143"/>
        <v>0</v>
      </c>
      <c r="H553" s="157">
        <f t="shared" si="144"/>
        <v>0</v>
      </c>
      <c r="I553" s="157">
        <f t="shared" si="141"/>
        <v>0</v>
      </c>
      <c r="L553" s="99" t="s">
        <v>36</v>
      </c>
    </row>
    <row r="554" spans="1:12" ht="13.8" thickBot="1" x14ac:dyDescent="0.3">
      <c r="A554" s="3" t="s">
        <v>18</v>
      </c>
      <c r="B554" s="67">
        <f>arrears!G343</f>
        <v>0</v>
      </c>
      <c r="C554" s="67">
        <f>arrears!H343</f>
        <v>0</v>
      </c>
      <c r="D554" s="68">
        <f t="shared" si="142"/>
        <v>0</v>
      </c>
      <c r="E554" s="67">
        <f t="shared" si="139"/>
        <v>0</v>
      </c>
      <c r="F554" s="69">
        <f t="shared" si="140"/>
        <v>0</v>
      </c>
      <c r="G554" s="156">
        <f t="shared" si="143"/>
        <v>0</v>
      </c>
      <c r="H554" s="157">
        <f t="shared" si="144"/>
        <v>0</v>
      </c>
      <c r="I554" s="157">
        <f t="shared" si="141"/>
        <v>0</v>
      </c>
      <c r="L554" s="99" t="s">
        <v>26</v>
      </c>
    </row>
    <row r="555" spans="1:12" ht="13.8" thickBot="1" x14ac:dyDescent="0.3">
      <c r="A555" s="7" t="s">
        <v>19</v>
      </c>
      <c r="B555" s="72">
        <f>SUM(B543:B554)</f>
        <v>0</v>
      </c>
      <c r="C555" s="72">
        <f>SUM(C543:C554)</f>
        <v>0</v>
      </c>
      <c r="D555" s="72">
        <f>SUM(D543:D554)</f>
        <v>0</v>
      </c>
      <c r="E555" s="73">
        <f>SUM(E543:E554)</f>
        <v>0</v>
      </c>
      <c r="F555" s="73">
        <f>SUM(F543:F554)</f>
        <v>0</v>
      </c>
      <c r="G555" s="71" t="s">
        <v>26</v>
      </c>
      <c r="H555" s="74">
        <f xml:space="preserve"> SUM(H543:H554)</f>
        <v>0</v>
      </c>
      <c r="I555" s="75"/>
    </row>
    <row r="556" spans="1:12" x14ac:dyDescent="0.25">
      <c r="A556" s="181">
        <f>arrears!F345</f>
        <v>0</v>
      </c>
    </row>
    <row r="557" spans="1:12" x14ac:dyDescent="0.25">
      <c r="A557" s="181">
        <f>arrears!F346</f>
        <v>0</v>
      </c>
    </row>
    <row r="558" spans="1:12" x14ac:dyDescent="0.25">
      <c r="A558" s="181">
        <f>arrears!F347</f>
        <v>0</v>
      </c>
    </row>
    <row r="559" spans="1:12" x14ac:dyDescent="0.25">
      <c r="A559" s="181">
        <f>arrears!F348</f>
        <v>0</v>
      </c>
    </row>
    <row r="560" spans="1:12" x14ac:dyDescent="0.25">
      <c r="A560" s="17"/>
      <c r="B560" s="17"/>
      <c r="C560" s="17"/>
      <c r="D560" s="17"/>
      <c r="E560" s="17"/>
      <c r="F560" s="17"/>
      <c r="G560" s="17"/>
      <c r="H560" s="17"/>
      <c r="I560" s="17"/>
    </row>
    <row r="561" spans="1:9" x14ac:dyDescent="0.25">
      <c r="A561" s="17"/>
      <c r="B561" s="17"/>
      <c r="C561" s="17"/>
      <c r="D561" s="17"/>
      <c r="E561" s="17"/>
      <c r="F561" s="17"/>
      <c r="G561" s="17"/>
      <c r="H561" s="17"/>
      <c r="I561" s="17"/>
    </row>
    <row r="562" spans="1:9" x14ac:dyDescent="0.25">
      <c r="A562" s="17"/>
      <c r="B562" s="17"/>
      <c r="C562" s="17"/>
      <c r="D562" s="17"/>
      <c r="E562" s="17"/>
      <c r="F562" s="17"/>
      <c r="G562" s="17"/>
      <c r="H562" s="17"/>
      <c r="I562" s="17"/>
    </row>
    <row r="563" spans="1:9" x14ac:dyDescent="0.25">
      <c r="A563" s="17"/>
      <c r="B563" s="17"/>
      <c r="C563" s="17"/>
      <c r="D563" s="17"/>
      <c r="E563" s="17"/>
      <c r="F563" s="17"/>
      <c r="G563" s="17"/>
      <c r="H563" s="17"/>
      <c r="I563" s="17"/>
    </row>
    <row r="564" spans="1:9" x14ac:dyDescent="0.25">
      <c r="A564" s="17"/>
      <c r="B564" s="17"/>
      <c r="C564" s="17"/>
      <c r="D564" s="17"/>
      <c r="E564" s="17"/>
      <c r="F564" s="17"/>
      <c r="G564" s="17"/>
      <c r="H564" s="17"/>
      <c r="I564" s="17"/>
    </row>
    <row r="565" spans="1:9" x14ac:dyDescent="0.25">
      <c r="A565" s="17"/>
      <c r="B565" s="17"/>
      <c r="C565" s="17"/>
      <c r="D565" s="17"/>
      <c r="E565" s="17"/>
      <c r="F565" s="17"/>
      <c r="G565" s="17"/>
      <c r="H565" s="17"/>
      <c r="I565" s="17"/>
    </row>
    <row r="566" spans="1:9" x14ac:dyDescent="0.25">
      <c r="A566" s="17"/>
      <c r="B566" s="17"/>
      <c r="C566" s="17"/>
      <c r="D566" s="17"/>
      <c r="E566" s="17"/>
      <c r="F566" s="17"/>
      <c r="G566" s="17"/>
      <c r="H566" s="17"/>
      <c r="I566" s="17"/>
    </row>
    <row r="567" spans="1:9" x14ac:dyDescent="0.25">
      <c r="A567" s="17"/>
      <c r="B567" s="17"/>
      <c r="C567" s="17"/>
      <c r="D567" s="17"/>
      <c r="E567" s="17"/>
      <c r="F567" s="17"/>
      <c r="G567" s="17"/>
      <c r="H567" s="17"/>
      <c r="I567" s="17"/>
    </row>
    <row r="568" spans="1:9" x14ac:dyDescent="0.25">
      <c r="A568" s="17"/>
      <c r="B568" s="17"/>
      <c r="C568" s="17"/>
      <c r="D568" s="17"/>
      <c r="E568" s="17"/>
      <c r="F568" s="17"/>
      <c r="G568" s="17"/>
      <c r="H568" s="17"/>
      <c r="I568" s="17"/>
    </row>
    <row r="569" spans="1:9" x14ac:dyDescent="0.25">
      <c r="A569" s="17"/>
      <c r="B569" s="17"/>
      <c r="C569" s="17"/>
      <c r="D569" s="17"/>
      <c r="E569" s="17"/>
      <c r="F569" s="17"/>
      <c r="G569" s="17"/>
      <c r="H569" s="17"/>
      <c r="I569" s="17"/>
    </row>
    <row r="570" spans="1:9" x14ac:dyDescent="0.25">
      <c r="A570" s="17"/>
      <c r="B570" s="17"/>
      <c r="C570" s="17"/>
      <c r="D570" s="17"/>
      <c r="E570" s="17"/>
      <c r="F570" s="17"/>
      <c r="G570" s="17"/>
      <c r="H570" s="17"/>
      <c r="I570" s="17"/>
    </row>
    <row r="571" spans="1:9" x14ac:dyDescent="0.25">
      <c r="A571" s="17"/>
      <c r="B571" s="17"/>
      <c r="C571" s="17"/>
      <c r="D571" s="17"/>
      <c r="E571" s="17"/>
      <c r="F571" s="17"/>
      <c r="G571" s="17"/>
      <c r="H571" s="17"/>
      <c r="I571" s="17"/>
    </row>
    <row r="572" spans="1:9" x14ac:dyDescent="0.25">
      <c r="A572" s="17"/>
      <c r="B572" s="17"/>
      <c r="C572" s="17"/>
      <c r="D572" s="17"/>
      <c r="E572" s="17"/>
      <c r="F572" s="17"/>
      <c r="G572" s="17"/>
      <c r="H572" s="17"/>
      <c r="I572" s="17"/>
    </row>
    <row r="573" spans="1:9" x14ac:dyDescent="0.25">
      <c r="A573" s="17"/>
      <c r="B573" s="17"/>
      <c r="C573" s="17"/>
      <c r="D573" s="17"/>
      <c r="E573" s="17"/>
      <c r="F573" s="17"/>
      <c r="G573" s="17"/>
      <c r="H573" s="17"/>
      <c r="I573" s="17"/>
    </row>
    <row r="574" spans="1:9" x14ac:dyDescent="0.25">
      <c r="A574" s="17"/>
      <c r="B574" s="17"/>
      <c r="C574" s="17"/>
      <c r="D574" s="17"/>
      <c r="E574" s="17"/>
      <c r="F574" s="17"/>
      <c r="G574" s="17"/>
      <c r="H574" s="17"/>
      <c r="I574" s="17"/>
    </row>
    <row r="575" spans="1:9" x14ac:dyDescent="0.25">
      <c r="A575" s="17"/>
      <c r="B575" s="17"/>
      <c r="C575" s="17"/>
      <c r="D575" s="17"/>
      <c r="E575" s="17"/>
      <c r="F575" s="17"/>
      <c r="G575" s="17"/>
      <c r="H575" s="17"/>
      <c r="I575" s="17"/>
    </row>
    <row r="576" spans="1:9" x14ac:dyDescent="0.25">
      <c r="A576" s="17"/>
      <c r="B576" s="17"/>
      <c r="C576" s="17"/>
      <c r="D576" s="17"/>
      <c r="E576" s="17"/>
      <c r="F576" s="17"/>
      <c r="G576" s="17"/>
      <c r="H576" s="17"/>
      <c r="I576" s="17"/>
    </row>
    <row r="577" spans="2:9" x14ac:dyDescent="0.25">
      <c r="B577" s="17"/>
      <c r="C577" s="17"/>
      <c r="D577" s="17"/>
      <c r="E577" s="17"/>
      <c r="F577" s="17"/>
      <c r="G577" s="17"/>
      <c r="H577" s="17"/>
      <c r="I577" s="17"/>
    </row>
    <row r="578" spans="2:9" x14ac:dyDescent="0.25">
      <c r="B578" s="17"/>
      <c r="C578" s="17"/>
      <c r="D578" s="17"/>
      <c r="E578" s="17"/>
      <c r="F578" s="17"/>
      <c r="G578" s="17"/>
      <c r="H578" s="17"/>
      <c r="I578" s="17"/>
    </row>
    <row r="579" spans="2:9" x14ac:dyDescent="0.25">
      <c r="B579" s="17"/>
      <c r="C579" s="17"/>
      <c r="D579" s="17"/>
      <c r="E579" s="17"/>
      <c r="F579" s="17"/>
      <c r="G579" s="17"/>
      <c r="H579" s="17"/>
      <c r="I579" s="17"/>
    </row>
    <row r="580" spans="2:9" x14ac:dyDescent="0.25">
      <c r="B580" s="17"/>
      <c r="C580" s="17"/>
      <c r="D580" s="17"/>
      <c r="E580" s="17"/>
      <c r="F580" s="17"/>
      <c r="G580" s="17"/>
      <c r="H580" s="17"/>
      <c r="I580" s="17"/>
    </row>
    <row r="581" spans="2:9" x14ac:dyDescent="0.25">
      <c r="B581" s="17"/>
      <c r="C581" s="17"/>
      <c r="D581" s="17"/>
      <c r="E581" s="17"/>
      <c r="F581" s="17"/>
      <c r="G581" s="17"/>
      <c r="H581" s="17"/>
      <c r="I581" s="17"/>
    </row>
    <row r="582" spans="2:9" x14ac:dyDescent="0.25">
      <c r="B582" s="17"/>
      <c r="C582" s="17"/>
      <c r="D582" s="17"/>
      <c r="E582" s="17"/>
      <c r="F582" s="17"/>
      <c r="G582" s="17"/>
      <c r="H582" s="17"/>
      <c r="I582" s="17"/>
    </row>
    <row r="583" spans="2:9" x14ac:dyDescent="0.25">
      <c r="B583" s="17"/>
      <c r="C583" s="17"/>
      <c r="D583" s="17"/>
      <c r="E583" s="17"/>
      <c r="F583" s="17"/>
      <c r="G583" s="17"/>
      <c r="H583" s="17"/>
      <c r="I583" s="17"/>
    </row>
    <row r="584" spans="2:9" x14ac:dyDescent="0.25">
      <c r="B584" s="17"/>
      <c r="C584" s="17"/>
      <c r="D584" s="17"/>
      <c r="E584" s="17"/>
      <c r="F584" s="17"/>
      <c r="G584" s="17"/>
      <c r="H584" s="17"/>
      <c r="I584" s="17"/>
    </row>
    <row r="585" spans="2:9" x14ac:dyDescent="0.25">
      <c r="B585" s="17"/>
      <c r="C585" s="17"/>
      <c r="D585" s="17"/>
      <c r="E585" s="17"/>
      <c r="F585" s="17"/>
      <c r="G585" s="17"/>
      <c r="H585" s="17"/>
      <c r="I585" s="17"/>
    </row>
    <row r="586" spans="2:9" x14ac:dyDescent="0.25">
      <c r="B586" s="17"/>
      <c r="C586" s="17"/>
      <c r="D586" s="17"/>
      <c r="E586" s="17"/>
      <c r="F586" s="17"/>
      <c r="G586" s="17"/>
      <c r="H586" s="17"/>
      <c r="I586" s="17"/>
    </row>
  </sheetData>
  <sheetProtection formatCells="0"/>
  <mergeCells count="10">
    <mergeCell ref="A55:B55"/>
    <mergeCell ref="A1:I1"/>
    <mergeCell ref="A11:I11"/>
    <mergeCell ref="A40:I40"/>
    <mergeCell ref="A34:B34"/>
    <mergeCell ref="D41:F41"/>
    <mergeCell ref="D13:E13"/>
    <mergeCell ref="A38:B38"/>
    <mergeCell ref="D37:F37"/>
    <mergeCell ref="D38:F38"/>
  </mergeCells>
  <phoneticPr fontId="3" type="noConversion"/>
  <printOptions horizontalCentered="1" verticalCentered="1"/>
  <pageMargins left="0" right="0" top="0.3" bottom="0.3" header="0" footer="0.511811023622047"/>
  <pageSetup scale="90" orientation="portrait" blackAndWhite="1" horizontalDpi="300" verticalDpi="300" r:id="rId1"/>
  <headerFooter alignWithMargins="0">
    <oddFooter xml:space="preserve">&amp;L&amp;9&amp;F&amp;CSurcharge Affidavit&amp;R&amp;9Page  &amp;P
</oddFooter>
  </headerFooter>
  <rowBreaks count="5" manualBreakCount="5">
    <brk id="57" max="9" man="1"/>
    <brk id="119" max="9" man="1"/>
    <brk id="308" max="9" man="1"/>
    <brk id="370" max="9" man="1"/>
    <brk id="559" max="9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18"/>
  <sheetViews>
    <sheetView topLeftCell="A82" workbookViewId="0">
      <selection activeCell="K55" sqref="K55"/>
    </sheetView>
  </sheetViews>
  <sheetFormatPr defaultRowHeight="13.2" x14ac:dyDescent="0.25"/>
  <cols>
    <col min="1" max="1" width="6.6640625" customWidth="1"/>
    <col min="2" max="5" width="11.6640625" customWidth="1"/>
    <col min="6" max="6" width="1.6640625" customWidth="1"/>
    <col min="7" max="7" width="6.6640625" customWidth="1"/>
    <col min="8" max="11" width="11.6640625" customWidth="1"/>
    <col min="12" max="12" width="1.6640625" customWidth="1"/>
    <col min="15" max="15" width="13.6640625" customWidth="1"/>
  </cols>
  <sheetData>
    <row r="1" spans="1:17" x14ac:dyDescent="0.25">
      <c r="A1" s="248" t="s">
        <v>103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97"/>
      <c r="O1" s="186">
        <f>SUM(I104,I153,I202,I251,I300,I349)</f>
        <v>0</v>
      </c>
      <c r="Q1" t="s">
        <v>96</v>
      </c>
    </row>
    <row r="2" spans="1:17" x14ac:dyDescent="0.25">
      <c r="A2" s="209"/>
      <c r="B2" s="98"/>
      <c r="C2" s="98"/>
      <c r="D2" s="98"/>
      <c r="E2" s="98"/>
      <c r="F2" s="98"/>
      <c r="G2" s="98"/>
      <c r="H2" s="98"/>
      <c r="I2" s="98"/>
      <c r="J2" s="99"/>
      <c r="K2" s="99"/>
      <c r="L2" s="99"/>
      <c r="O2" s="173"/>
    </row>
    <row r="3" spans="1:17" x14ac:dyDescent="0.25">
      <c r="A3" s="98"/>
      <c r="B3" s="100" t="s">
        <v>0</v>
      </c>
      <c r="C3" s="143" t="str">
        <f>arrears!C3</f>
        <v xml:space="preserve"> </v>
      </c>
      <c r="D3" s="98"/>
      <c r="E3" s="98"/>
      <c r="F3" s="100" t="s">
        <v>26</v>
      </c>
      <c r="G3" s="100" t="s">
        <v>26</v>
      </c>
      <c r="H3" s="100" t="s">
        <v>53</v>
      </c>
      <c r="I3" s="143" t="str">
        <f>arrears!$G$3</f>
        <v xml:space="preserve"> </v>
      </c>
      <c r="J3" s="99"/>
      <c r="K3" s="99"/>
      <c r="L3" s="99"/>
      <c r="O3" s="187">
        <f>SUM(E80,K80,E99,K99,E129,K129,E148,K148,E178,K178,E197,K197,E227,K227,E246,K246,E276,K276,E295,K295,E325,K325,E344,K344)</f>
        <v>0</v>
      </c>
      <c r="Q3" t="s">
        <v>95</v>
      </c>
    </row>
    <row r="4" spans="1:17" x14ac:dyDescent="0.25">
      <c r="A4" s="98"/>
      <c r="B4" s="100" t="s">
        <v>1</v>
      </c>
      <c r="C4" s="143" t="str">
        <f>arrears!C4</f>
        <v xml:space="preserve"> </v>
      </c>
      <c r="D4" s="98"/>
      <c r="E4" s="98"/>
      <c r="F4" s="100" t="s">
        <v>26</v>
      </c>
      <c r="G4" s="98" t="s">
        <v>26</v>
      </c>
      <c r="H4" s="100"/>
      <c r="I4" s="98"/>
      <c r="J4" s="99"/>
      <c r="K4" s="99"/>
      <c r="L4" s="99"/>
      <c r="O4" s="173"/>
    </row>
    <row r="5" spans="1:17" x14ac:dyDescent="0.25">
      <c r="A5" s="98"/>
      <c r="B5" s="100"/>
      <c r="C5" s="98"/>
      <c r="D5" s="98"/>
      <c r="E5" s="98"/>
      <c r="F5" s="100"/>
      <c r="G5" s="98"/>
      <c r="H5" s="98"/>
      <c r="I5" s="98"/>
      <c r="J5" s="99"/>
      <c r="K5" s="99"/>
      <c r="L5" s="99"/>
      <c r="O5" s="187">
        <f>IF(Type="NPA",($H$26),IF(Type="NPA Medical",($H$27),IF(Type="NPA Service Fees",($H$28),IF(Type="NPA Civil Penalty",($H$29),IF(Type="NPA attorney fees",($H$30),IF(Type="NPA cash medical",($H$32),$O$7))))))</f>
        <v>0</v>
      </c>
      <c r="Q5" t="s">
        <v>93</v>
      </c>
    </row>
    <row r="6" spans="1:17" x14ac:dyDescent="0.25">
      <c r="A6" s="101" t="s">
        <v>48</v>
      </c>
      <c r="B6" s="101" t="s">
        <v>26</v>
      </c>
      <c r="C6" s="143" t="str">
        <f>arrears!C6</f>
        <v xml:space="preserve"> </v>
      </c>
      <c r="D6" s="98"/>
      <c r="E6" s="98"/>
      <c r="F6" s="100"/>
      <c r="G6" s="98"/>
      <c r="H6" s="98"/>
      <c r="I6" s="98"/>
      <c r="J6" s="99"/>
      <c r="K6" s="99"/>
      <c r="L6" s="99"/>
    </row>
    <row r="7" spans="1:17" x14ac:dyDescent="0.25">
      <c r="A7" s="98" t="s">
        <v>49</v>
      </c>
      <c r="B7" s="102"/>
      <c r="C7" s="171"/>
      <c r="D7" s="99"/>
      <c r="E7" s="98"/>
      <c r="F7" s="98"/>
      <c r="G7" s="98"/>
      <c r="H7" s="98"/>
      <c r="I7" s="98"/>
      <c r="J7" s="99"/>
      <c r="K7" s="99"/>
      <c r="L7" s="99"/>
      <c r="O7" s="137">
        <f>IF(Type="NPA Spousal",($H$33),IF(Type="NPA other",($H$34),IF(Type="Temporary",$C$35,IF(Type="Conditional",$C$35,0))))</f>
        <v>0</v>
      </c>
      <c r="Q7" t="s">
        <v>98</v>
      </c>
    </row>
    <row r="8" spans="1:17" x14ac:dyDescent="0.25">
      <c r="A8" s="98" t="s">
        <v>38</v>
      </c>
      <c r="B8" s="103"/>
      <c r="C8" s="144" t="str">
        <f>arrears!C8</f>
        <v xml:space="preserve"> </v>
      </c>
      <c r="D8" s="99"/>
      <c r="E8" s="99"/>
      <c r="F8" s="98"/>
      <c r="G8" s="98"/>
      <c r="H8" s="98"/>
      <c r="I8" s="98"/>
      <c r="J8" s="99"/>
      <c r="K8" s="99"/>
      <c r="L8" s="99"/>
    </row>
    <row r="9" spans="1:17" ht="13.8" thickBot="1" x14ac:dyDescent="0.3">
      <c r="A9" s="98" t="s">
        <v>65</v>
      </c>
      <c r="B9" s="103"/>
      <c r="C9" s="176" t="str">
        <f>arrears!$C$9</f>
        <v xml:space="preserve"> </v>
      </c>
      <c r="D9" s="101"/>
      <c r="E9" s="101"/>
      <c r="F9" s="98"/>
      <c r="G9" s="98"/>
      <c r="H9" s="98"/>
      <c r="I9" s="98"/>
      <c r="J9" s="104"/>
      <c r="K9" s="104"/>
      <c r="L9" s="105"/>
    </row>
    <row r="10" spans="1:17" x14ac:dyDescent="0.25">
      <c r="A10" s="106"/>
      <c r="B10" s="107"/>
      <c r="C10" s="108"/>
      <c r="D10" s="109"/>
      <c r="E10" s="109"/>
      <c r="F10" s="106"/>
      <c r="G10" s="106"/>
      <c r="H10" s="106"/>
      <c r="I10" s="106"/>
      <c r="J10" s="99"/>
      <c r="K10" s="99"/>
      <c r="L10" s="99"/>
    </row>
    <row r="11" spans="1:17" x14ac:dyDescent="0.25">
      <c r="A11" s="247" t="s">
        <v>44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111"/>
    </row>
    <row r="12" spans="1:17" x14ac:dyDescent="0.25">
      <c r="A12" s="100"/>
      <c r="B12" s="98"/>
      <c r="C12" s="100"/>
      <c r="D12" s="98"/>
      <c r="E12" s="98"/>
      <c r="F12" s="98"/>
      <c r="G12" s="98"/>
      <c r="H12" s="98"/>
      <c r="I12" s="98"/>
      <c r="J12" s="99"/>
      <c r="K12" s="99"/>
      <c r="L12" s="99"/>
    </row>
    <row r="13" spans="1:17" x14ac:dyDescent="0.25">
      <c r="A13" s="101" t="s">
        <v>39</v>
      </c>
      <c r="B13" s="98"/>
      <c r="C13" s="98"/>
      <c r="D13" s="243"/>
      <c r="E13" s="232"/>
      <c r="I13" s="98"/>
      <c r="J13" s="99"/>
      <c r="K13" s="99"/>
      <c r="L13" s="99"/>
    </row>
    <row r="14" spans="1:17" x14ac:dyDescent="0.25">
      <c r="A14" s="101"/>
      <c r="B14" s="98"/>
      <c r="C14" s="98"/>
      <c r="D14" s="98"/>
      <c r="E14" s="98"/>
      <c r="F14" s="98"/>
      <c r="G14" s="98"/>
      <c r="H14" s="98"/>
      <c r="I14" s="98"/>
      <c r="J14" s="99"/>
      <c r="K14" s="99"/>
      <c r="L14" s="99"/>
    </row>
    <row r="15" spans="1:17" x14ac:dyDescent="0.25">
      <c r="A15" s="101" t="s">
        <v>40</v>
      </c>
      <c r="B15" s="98"/>
      <c r="C15" s="98"/>
      <c r="D15" s="201" t="str">
        <f>arrears!D15</f>
        <v xml:space="preserve"> </v>
      </c>
      <c r="E15" s="97" t="s">
        <v>121</v>
      </c>
      <c r="F15" s="250" t="str">
        <f>arrears!G15</f>
        <v xml:space="preserve"> </v>
      </c>
      <c r="G15" s="251"/>
      <c r="H15" s="195" t="s">
        <v>120</v>
      </c>
      <c r="I15" s="199" t="str">
        <f>arrears!I15</f>
        <v xml:space="preserve"> </v>
      </c>
      <c r="J15" s="99"/>
      <c r="K15" s="99"/>
      <c r="L15" s="99"/>
    </row>
    <row r="16" spans="1:17" x14ac:dyDescent="0.25">
      <c r="A16" s="101" t="s">
        <v>41</v>
      </c>
      <c r="B16" s="98"/>
      <c r="C16" s="98"/>
      <c r="D16" s="201">
        <f>arrears!D16</f>
        <v>0</v>
      </c>
      <c r="E16" s="97" t="s">
        <v>121</v>
      </c>
      <c r="F16" s="250" t="str">
        <f>arrears!G16</f>
        <v xml:space="preserve"> </v>
      </c>
      <c r="G16" s="251"/>
      <c r="H16" s="195" t="s">
        <v>120</v>
      </c>
      <c r="I16" s="199" t="str">
        <f>arrears!I16</f>
        <v xml:space="preserve"> </v>
      </c>
      <c r="J16" s="99"/>
      <c r="K16" s="99"/>
      <c r="L16" s="99"/>
    </row>
    <row r="17" spans="1:12" x14ac:dyDescent="0.25">
      <c r="A17" s="101" t="s">
        <v>42</v>
      </c>
      <c r="B17" s="98"/>
      <c r="C17" s="98"/>
      <c r="D17" s="201">
        <f>arrears!D17</f>
        <v>0</v>
      </c>
      <c r="E17" s="97" t="s">
        <v>121</v>
      </c>
      <c r="F17" s="250" t="str">
        <f>arrears!G17</f>
        <v xml:space="preserve"> </v>
      </c>
      <c r="G17" s="251"/>
      <c r="H17" s="195" t="s">
        <v>120</v>
      </c>
      <c r="I17" s="199" t="str">
        <f>arrears!I17</f>
        <v xml:space="preserve"> </v>
      </c>
      <c r="J17" s="99"/>
      <c r="K17" s="99"/>
      <c r="L17" s="99"/>
    </row>
    <row r="18" spans="1:12" x14ac:dyDescent="0.25">
      <c r="A18" s="101" t="s">
        <v>50</v>
      </c>
      <c r="B18" s="98"/>
      <c r="C18" s="98"/>
      <c r="D18" s="201">
        <f>arrears!D18</f>
        <v>0</v>
      </c>
      <c r="E18" s="97" t="s">
        <v>121</v>
      </c>
      <c r="F18" s="250">
        <f>arrears!G18</f>
        <v>0</v>
      </c>
      <c r="G18" s="251"/>
      <c r="H18" s="195" t="s">
        <v>120</v>
      </c>
      <c r="I18" s="199" t="str">
        <f>arrears!I18</f>
        <v xml:space="preserve"> </v>
      </c>
      <c r="J18" s="99"/>
      <c r="K18" s="99"/>
      <c r="L18" s="99"/>
    </row>
    <row r="19" spans="1:12" x14ac:dyDescent="0.25">
      <c r="A19" s="98"/>
      <c r="B19" s="98"/>
      <c r="C19" s="98"/>
      <c r="D19" s="18"/>
      <c r="E19" s="98"/>
      <c r="F19" s="98"/>
      <c r="G19" s="98"/>
      <c r="H19" s="98"/>
      <c r="I19" s="98"/>
      <c r="J19" s="99"/>
      <c r="K19" s="99"/>
      <c r="L19" s="99"/>
    </row>
    <row r="20" spans="1:12" x14ac:dyDescent="0.25">
      <c r="A20" s="101" t="s">
        <v>66</v>
      </c>
      <c r="B20" s="98"/>
      <c r="C20" s="98"/>
      <c r="D20" s="188">
        <f>arrears!D20</f>
        <v>0</v>
      </c>
      <c r="E20" s="98"/>
      <c r="F20" s="98"/>
      <c r="G20" s="98"/>
      <c r="H20" s="98"/>
      <c r="I20" s="98"/>
      <c r="J20" s="99"/>
      <c r="K20" s="99"/>
      <c r="L20" s="99"/>
    </row>
    <row r="21" spans="1:12" x14ac:dyDescent="0.25">
      <c r="A21" s="101" t="s">
        <v>26</v>
      </c>
      <c r="B21" s="98"/>
      <c r="C21" s="98"/>
      <c r="D21" s="188">
        <f>arrears!D21</f>
        <v>0</v>
      </c>
      <c r="E21" s="98"/>
      <c r="F21" s="98"/>
      <c r="G21" s="98"/>
      <c r="H21" s="98"/>
      <c r="I21" s="98"/>
      <c r="J21" s="99"/>
      <c r="K21" s="99"/>
      <c r="L21" s="99"/>
    </row>
    <row r="22" spans="1:12" x14ac:dyDescent="0.25">
      <c r="A22" s="101" t="s">
        <v>26</v>
      </c>
      <c r="B22" s="98"/>
      <c r="C22" s="98"/>
      <c r="D22" s="188">
        <f>arrears!D22</f>
        <v>0</v>
      </c>
      <c r="E22" s="98"/>
      <c r="F22" s="98"/>
      <c r="G22" s="98"/>
      <c r="H22" s="98"/>
      <c r="I22" s="98"/>
      <c r="J22" s="99"/>
      <c r="K22" s="99"/>
      <c r="L22" s="99"/>
    </row>
    <row r="23" spans="1:12" x14ac:dyDescent="0.25">
      <c r="A23" s="101" t="s">
        <v>26</v>
      </c>
      <c r="B23" s="98"/>
      <c r="C23" s="98"/>
      <c r="D23" s="188">
        <f>arrears!D23</f>
        <v>0</v>
      </c>
      <c r="E23" s="98"/>
      <c r="F23" s="98"/>
      <c r="G23" s="98"/>
      <c r="H23" s="98"/>
      <c r="I23" s="98"/>
      <c r="J23" s="99"/>
      <c r="K23" s="99"/>
      <c r="L23" s="99"/>
    </row>
    <row r="24" spans="1:12" x14ac:dyDescent="0.25">
      <c r="A24" s="98"/>
      <c r="B24" s="98"/>
      <c r="C24" s="98" t="s">
        <v>26</v>
      </c>
      <c r="D24" s="79" t="s">
        <v>26</v>
      </c>
      <c r="E24" s="98"/>
      <c r="F24" s="98"/>
      <c r="G24" s="98"/>
      <c r="H24" s="98"/>
      <c r="I24" s="98"/>
      <c r="J24" s="99"/>
      <c r="K24" s="99"/>
      <c r="L24" s="99"/>
    </row>
    <row r="25" spans="1:12" x14ac:dyDescent="0.25">
      <c r="A25" s="112" t="s">
        <v>26</v>
      </c>
      <c r="B25" s="103"/>
      <c r="C25" s="113" t="s">
        <v>67</v>
      </c>
      <c r="D25" s="114"/>
      <c r="E25" s="115" t="s">
        <v>26</v>
      </c>
      <c r="F25" s="116"/>
      <c r="G25" s="116" t="s">
        <v>26</v>
      </c>
      <c r="H25" s="117" t="s">
        <v>68</v>
      </c>
      <c r="I25" s="98"/>
      <c r="J25" s="99"/>
      <c r="K25" s="99"/>
      <c r="L25" s="99"/>
    </row>
    <row r="26" spans="1:12" x14ac:dyDescent="0.25">
      <c r="A26" s="112" t="s">
        <v>54</v>
      </c>
      <c r="B26" s="98"/>
      <c r="C26" s="138">
        <f>arrears!C26</f>
        <v>0</v>
      </c>
      <c r="D26" s="118" t="s">
        <v>63</v>
      </c>
      <c r="E26" s="241" t="str">
        <f>arrears!$E$26</f>
        <v xml:space="preserve"> </v>
      </c>
      <c r="F26" s="242"/>
      <c r="G26" s="119" t="s">
        <v>26</v>
      </c>
      <c r="H26" s="139">
        <f>arrears!G26</f>
        <v>0</v>
      </c>
      <c r="I26" s="110" t="s">
        <v>64</v>
      </c>
      <c r="J26" s="204" t="str">
        <f>arrears!$I$26</f>
        <v xml:space="preserve"> </v>
      </c>
      <c r="K26" s="99"/>
      <c r="L26" s="99"/>
    </row>
    <row r="27" spans="1:12" x14ac:dyDescent="0.25">
      <c r="A27" s="112" t="s">
        <v>55</v>
      </c>
      <c r="B27" s="98"/>
      <c r="C27" s="138">
        <f>arrears!C27</f>
        <v>0</v>
      </c>
      <c r="D27" s="118" t="s">
        <v>63</v>
      </c>
      <c r="E27" s="241" t="str">
        <f>arrears!$E$26</f>
        <v xml:space="preserve"> </v>
      </c>
      <c r="F27" s="242"/>
      <c r="G27" s="119" t="s">
        <v>26</v>
      </c>
      <c r="H27" s="139">
        <f>arrears!G27</f>
        <v>0</v>
      </c>
      <c r="I27" s="110" t="s">
        <v>64</v>
      </c>
      <c r="J27" s="204" t="str">
        <f>arrears!$I$26</f>
        <v xml:space="preserve"> </v>
      </c>
      <c r="K27" s="99"/>
      <c r="L27" s="99"/>
    </row>
    <row r="28" spans="1:12" x14ac:dyDescent="0.25">
      <c r="A28" s="112" t="s">
        <v>51</v>
      </c>
      <c r="B28" s="100"/>
      <c r="C28" s="138">
        <f>arrears!C28</f>
        <v>0</v>
      </c>
      <c r="D28" s="118" t="s">
        <v>63</v>
      </c>
      <c r="E28" s="241" t="str">
        <f>arrears!$E$26</f>
        <v xml:space="preserve"> </v>
      </c>
      <c r="F28" s="242"/>
      <c r="G28" s="119" t="s">
        <v>26</v>
      </c>
      <c r="H28" s="139">
        <f>arrears!G28</f>
        <v>0</v>
      </c>
      <c r="I28" s="110" t="s">
        <v>64</v>
      </c>
      <c r="J28" s="204" t="str">
        <f>arrears!$I$26</f>
        <v xml:space="preserve"> </v>
      </c>
      <c r="K28" s="99"/>
      <c r="L28" s="99"/>
    </row>
    <row r="29" spans="1:12" x14ac:dyDescent="0.25">
      <c r="A29" s="112" t="s">
        <v>56</v>
      </c>
      <c r="B29" s="100"/>
      <c r="C29" s="138">
        <f>arrears!C29</f>
        <v>0</v>
      </c>
      <c r="D29" s="118" t="s">
        <v>63</v>
      </c>
      <c r="E29" s="241" t="str">
        <f>arrears!$E$26</f>
        <v xml:space="preserve"> </v>
      </c>
      <c r="F29" s="242"/>
      <c r="G29" s="119" t="s">
        <v>26</v>
      </c>
      <c r="H29" s="139">
        <f>arrears!G29</f>
        <v>0</v>
      </c>
      <c r="I29" s="110" t="s">
        <v>64</v>
      </c>
      <c r="J29" s="204" t="str">
        <f>arrears!$I$26</f>
        <v xml:space="preserve"> </v>
      </c>
      <c r="K29" s="99"/>
      <c r="L29" s="99"/>
    </row>
    <row r="30" spans="1:12" x14ac:dyDescent="0.25">
      <c r="A30" s="112" t="s">
        <v>52</v>
      </c>
      <c r="B30" s="98"/>
      <c r="C30" s="138">
        <f>arrears!C30</f>
        <v>0</v>
      </c>
      <c r="D30" s="118" t="s">
        <v>63</v>
      </c>
      <c r="E30" s="241" t="str">
        <f>arrears!$E$26</f>
        <v xml:space="preserve"> </v>
      </c>
      <c r="F30" s="242"/>
      <c r="G30" s="119" t="s">
        <v>26</v>
      </c>
      <c r="H30" s="139">
        <f>arrears!G30</f>
        <v>0</v>
      </c>
      <c r="I30" s="110" t="s">
        <v>64</v>
      </c>
      <c r="J30" s="204" t="str">
        <f>arrears!$I$26</f>
        <v xml:space="preserve"> </v>
      </c>
      <c r="K30" s="99"/>
      <c r="L30" s="99"/>
    </row>
    <row r="31" spans="1:12" x14ac:dyDescent="0.25">
      <c r="A31" s="120" t="s">
        <v>57</v>
      </c>
      <c r="B31" s="98"/>
      <c r="C31" s="138">
        <f>arrears!C31</f>
        <v>0</v>
      </c>
      <c r="D31" s="118" t="s">
        <v>63</v>
      </c>
      <c r="E31" s="241" t="str">
        <f>arrears!$E$26</f>
        <v xml:space="preserve"> </v>
      </c>
      <c r="F31" s="242"/>
      <c r="G31" s="119" t="s">
        <v>26</v>
      </c>
      <c r="H31" s="139">
        <f>arrears!G31</f>
        <v>0</v>
      </c>
      <c r="I31" s="110" t="s">
        <v>64</v>
      </c>
      <c r="J31" s="204" t="str">
        <f>arrears!$I$26</f>
        <v xml:space="preserve"> </v>
      </c>
      <c r="K31" s="99"/>
      <c r="L31" s="99"/>
    </row>
    <row r="32" spans="1:12" x14ac:dyDescent="0.25">
      <c r="A32" s="120" t="s">
        <v>58</v>
      </c>
      <c r="B32" s="98"/>
      <c r="C32" s="138">
        <f>arrears!C32</f>
        <v>0</v>
      </c>
      <c r="D32" s="118" t="s">
        <v>63</v>
      </c>
      <c r="E32" s="241" t="str">
        <f>arrears!$E$26</f>
        <v xml:space="preserve"> </v>
      </c>
      <c r="F32" s="242"/>
      <c r="G32" s="119" t="s">
        <v>26</v>
      </c>
      <c r="H32" s="139">
        <f>arrears!G32</f>
        <v>0</v>
      </c>
      <c r="I32" s="110" t="s">
        <v>64</v>
      </c>
      <c r="J32" s="204" t="str">
        <f>arrears!$I$26</f>
        <v xml:space="preserve"> </v>
      </c>
      <c r="K32" s="99"/>
      <c r="L32" s="99"/>
    </row>
    <row r="33" spans="1:12" x14ac:dyDescent="0.25">
      <c r="A33" s="120" t="s">
        <v>59</v>
      </c>
      <c r="B33" s="98"/>
      <c r="C33" s="138">
        <f>arrears!C33</f>
        <v>0</v>
      </c>
      <c r="D33" s="118" t="s">
        <v>63</v>
      </c>
      <c r="E33" s="241" t="str">
        <f>arrears!$E$26</f>
        <v xml:space="preserve"> </v>
      </c>
      <c r="F33" s="242"/>
      <c r="G33" s="119" t="s">
        <v>26</v>
      </c>
      <c r="H33" s="139">
        <f>arrears!G33</f>
        <v>0</v>
      </c>
      <c r="I33" s="110" t="s">
        <v>64</v>
      </c>
      <c r="J33" s="204" t="str">
        <f>arrears!$I$26</f>
        <v xml:space="preserve"> </v>
      </c>
      <c r="K33" s="99"/>
      <c r="L33" s="99"/>
    </row>
    <row r="34" spans="1:12" x14ac:dyDescent="0.25">
      <c r="A34" s="245" t="s">
        <v>60</v>
      </c>
      <c r="B34" s="246"/>
      <c r="C34" s="138">
        <f>arrears!C34</f>
        <v>0</v>
      </c>
      <c r="D34" s="118" t="s">
        <v>63</v>
      </c>
      <c r="E34" s="241" t="str">
        <f>arrears!$E$26</f>
        <v xml:space="preserve"> </v>
      </c>
      <c r="F34" s="242"/>
      <c r="G34" s="119" t="s">
        <v>26</v>
      </c>
      <c r="H34" s="139">
        <f>arrears!G34</f>
        <v>0</v>
      </c>
      <c r="I34" s="110" t="s">
        <v>64</v>
      </c>
      <c r="J34" s="204" t="str">
        <f>arrears!$I$26</f>
        <v xml:space="preserve"> </v>
      </c>
      <c r="K34" s="99"/>
      <c r="L34" s="99"/>
    </row>
    <row r="35" spans="1:12" x14ac:dyDescent="0.25">
      <c r="A35" s="245" t="s">
        <v>62</v>
      </c>
      <c r="B35" s="246"/>
      <c r="C35" s="138">
        <f>arrears!C35</f>
        <v>0</v>
      </c>
      <c r="D35" s="118" t="s">
        <v>63</v>
      </c>
      <c r="E35" s="241" t="str">
        <f>arrears!$E$26</f>
        <v xml:space="preserve"> </v>
      </c>
      <c r="F35" s="242"/>
      <c r="G35" s="121" t="s">
        <v>26</v>
      </c>
      <c r="H35" s="98"/>
      <c r="I35" s="98"/>
      <c r="J35" s="99"/>
      <c r="K35" s="99"/>
      <c r="L35" s="99"/>
    </row>
    <row r="36" spans="1:12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9"/>
      <c r="K36" s="99"/>
      <c r="L36" s="99"/>
    </row>
    <row r="37" spans="1:12" x14ac:dyDescent="0.25">
      <c r="A37" s="120" t="s">
        <v>43</v>
      </c>
      <c r="B37" s="98"/>
      <c r="C37" s="98">
        <f>arrears!$C$37</f>
        <v>0.01</v>
      </c>
      <c r="D37" s="98"/>
      <c r="E37" s="98"/>
      <c r="F37" s="98"/>
      <c r="G37" s="98"/>
      <c r="H37" s="98"/>
      <c r="I37" s="98"/>
      <c r="J37" s="99"/>
      <c r="K37" s="99"/>
      <c r="L37" s="99"/>
    </row>
    <row r="38" spans="1:12" ht="13.8" thickBot="1" x14ac:dyDescent="0.3">
      <c r="A38" s="120" t="s">
        <v>26</v>
      </c>
      <c r="B38" s="98"/>
      <c r="C38" s="98"/>
      <c r="D38" s="98"/>
      <c r="E38" s="98"/>
      <c r="F38" s="98"/>
      <c r="G38" s="98"/>
      <c r="H38" s="98"/>
      <c r="I38" s="98"/>
      <c r="J38" s="104"/>
      <c r="K38" s="104"/>
      <c r="L38" s="105"/>
    </row>
    <row r="39" spans="1:12" x14ac:dyDescent="0.25">
      <c r="A39" s="106"/>
      <c r="B39" s="106"/>
      <c r="C39" s="106"/>
      <c r="D39" s="106"/>
      <c r="E39" s="106"/>
      <c r="F39" s="106"/>
      <c r="G39" s="106"/>
      <c r="H39" s="106"/>
      <c r="I39" s="106"/>
      <c r="J39" s="99"/>
      <c r="K39" s="99"/>
      <c r="L39" s="99"/>
    </row>
    <row r="40" spans="1:12" x14ac:dyDescent="0.25">
      <c r="A40" s="247" t="str">
        <f>surcharge!$A$40</f>
        <v>Current Case Accounting Summary</v>
      </c>
      <c r="B40" s="247"/>
      <c r="C40" s="247"/>
      <c r="D40" s="247"/>
      <c r="E40" s="247"/>
      <c r="F40" s="247"/>
      <c r="G40" s="247"/>
      <c r="H40" s="247"/>
      <c r="I40" s="247"/>
      <c r="J40" s="246"/>
      <c r="K40" s="246"/>
      <c r="L40" s="246"/>
    </row>
    <row r="41" spans="1:12" x14ac:dyDescent="0.25">
      <c r="A41" s="98"/>
      <c r="B41" s="98"/>
      <c r="C41" s="247" t="str">
        <f>IF(Type="NPA","NPA Past due Child Support, NPA Surcharge, NPA Civil Penalty, and NPA Service fees",(arrears!$C$6))</f>
        <v xml:space="preserve"> </v>
      </c>
      <c r="D41" s="223"/>
      <c r="E41" s="223"/>
      <c r="F41" s="223"/>
      <c r="G41" s="223"/>
      <c r="H41" s="223"/>
      <c r="I41" s="223"/>
      <c r="J41" s="99"/>
      <c r="K41" s="99"/>
      <c r="L41" s="99"/>
    </row>
    <row r="42" spans="1:12" x14ac:dyDescent="0.25">
      <c r="A42" s="98"/>
      <c r="B42" s="98"/>
      <c r="C42" s="98"/>
      <c r="D42" s="98"/>
      <c r="E42" s="98"/>
      <c r="F42" s="98"/>
      <c r="G42" s="99"/>
      <c r="H42" s="99"/>
      <c r="I42" s="100" t="str">
        <f>IF(Type="Complete","Child Support Arrears:",IF(Type="PA","Child Support Arrears:",IF(Type="NPA","Child Support Arrears:",IF(Type="Conditional","Child Support Arrears:",IF(Type="Temporary","Child Support Arrears:",IF(Type=" ","Child Support Arrears","  "))))))</f>
        <v>Child Support Arrears</v>
      </c>
      <c r="J42" s="140">
        <f>IF(Type="NPA",SUM(NPA_Arrears,$O$1),IF(Type="Complete",SUM($C$26,$C$35,$H$26,$O$1),IF(Type="Conditional",SUM($C$35,$O$1),IF(Type="Temporary",SUM($C$35,$O$1),IF(Type="PA",SUM($C$26,$O$1),0)))))</f>
        <v>0</v>
      </c>
      <c r="K42" s="99"/>
      <c r="L42" s="99"/>
    </row>
    <row r="43" spans="1:12" x14ac:dyDescent="0.25">
      <c r="A43" s="101" t="s">
        <v>20</v>
      </c>
      <c r="B43" s="98"/>
      <c r="C43" s="101" t="str">
        <f>arrears!C43</f>
        <v xml:space="preserve"> </v>
      </c>
      <c r="D43" s="99"/>
      <c r="E43" s="98"/>
      <c r="F43" s="98"/>
      <c r="G43" s="99"/>
      <c r="H43" s="99"/>
      <c r="I43" s="100" t="str">
        <f>IF(Type="Complete","Medical Arrears:",IF(Type="PA Medical","Medical Arrears:",IF(Type="NPA Medical","Medical Arrears:",IF(Type=" ","Medical Arrears:"," "))))</f>
        <v>Medical Arrears:</v>
      </c>
      <c r="J43" s="140">
        <f>IF(Type="NPA Medical",SUM($H$27,$O$1),IF(Type="Complete",SUM($C$27,$H$27),IF(Type="NPA Medical",SUM(C27,$O$1),0)))</f>
        <v>0</v>
      </c>
      <c r="K43" s="99"/>
      <c r="L43" s="99"/>
    </row>
    <row r="44" spans="1:12" x14ac:dyDescent="0.25">
      <c r="A44" s="101" t="s">
        <v>21</v>
      </c>
      <c r="B44" s="98"/>
      <c r="C44" s="212"/>
      <c r="D44" s="98"/>
      <c r="E44" s="98"/>
      <c r="F44" s="98"/>
      <c r="G44" s="99"/>
      <c r="H44" s="99"/>
      <c r="I44" s="100" t="str">
        <f>IF(Type="Complete","Spousal Arrears:",IF(Type="PA Spousal","Spousal Arrears:",IF(Type="NPA Spousal","Spousal Arrears:",IF(Type=" ","Spousal Arrears:"," "))))</f>
        <v>Spousal Arrears:</v>
      </c>
      <c r="J44" s="140">
        <f>IF(Type="NPA Spousal",SUM($H$33,$O$1),IF(Type="PA Spousal",SUM($C$33,$O$1),IF(Type="Complete",SUM($C$33+$H$33),0)))</f>
        <v>0</v>
      </c>
      <c r="K44" s="99"/>
      <c r="L44" s="99"/>
    </row>
    <row r="45" spans="1:12" x14ac:dyDescent="0.25">
      <c r="A45" s="101" t="s">
        <v>32</v>
      </c>
      <c r="B45" s="98"/>
      <c r="C45" s="213"/>
      <c r="D45" s="123" t="s">
        <v>26</v>
      </c>
      <c r="E45" s="98"/>
      <c r="F45" s="98"/>
      <c r="G45" s="99"/>
      <c r="H45" s="99"/>
      <c r="I45" s="100" t="str">
        <f>IF(Type="NPA Other","Surcharge:",IF(Type="NPA","Surcharge:",IF(Type="Complete","Total Surcharge:",IF(Type="NPA Medical","Surcharge:",IF(Type="NPA Spousal","Surcharge:",IF(Type="NPA Cash Medical","Surcharge:",IF(Type="Conditional","Surcharge:",IF(Type="Temporary","Surcharge:"," "))))))))</f>
        <v xml:space="preserve"> </v>
      </c>
      <c r="J45" s="140">
        <f>IF(Type="Complete",(Surcharge),IF(Type="NPA",($O$3),IF(Type="NPA Medical",$O$3,IF(Type="NPA Spousal",$O$3,IF(Type="NPA Cash Medical",$O$3,IF(Type="Conditional",$O$3,IF(Type="Temporary",$O$3,IF(Type="NPA Other",$O$3,0))))))))</f>
        <v>0</v>
      </c>
      <c r="K45" s="99"/>
      <c r="L45" s="99"/>
    </row>
    <row r="46" spans="1:12" x14ac:dyDescent="0.25">
      <c r="A46" s="100"/>
      <c r="B46" s="100"/>
      <c r="C46" s="100"/>
      <c r="D46" s="98"/>
      <c r="E46" s="98"/>
      <c r="F46" s="98"/>
      <c r="G46" s="99"/>
      <c r="H46" s="99"/>
      <c r="I46" s="100" t="str">
        <f>IF(Type="Complete","Civil Penalty:",IF(Type="PA Civil Penalty","Civil Penalty:",IF(Type="NPA","NPA Civil Penalty ",IF(Type="NPA Civil Penalty","Civil Penalty:",IF(Type=" ","Civil Penalty:"," ")))))</f>
        <v>Civil Penalty:</v>
      </c>
      <c r="J46" s="139">
        <f>IF(Type="Complete",SUM($C$29,$H$29),IF(Type="NPA",$H$29,IF(Type="NPA Civil Penalty",SUM($H$29,$O$1),IF(Type="PA Civil Penalty",SUM($D$29,$O$1),0))))</f>
        <v>0</v>
      </c>
      <c r="K46" s="99"/>
      <c r="L46" s="99"/>
    </row>
    <row r="47" spans="1:12" x14ac:dyDescent="0.25">
      <c r="A47" s="100"/>
      <c r="B47" s="100"/>
      <c r="C47" s="100"/>
      <c r="D47" s="98"/>
      <c r="E47" s="98"/>
      <c r="F47" s="98"/>
      <c r="G47" s="99"/>
      <c r="H47" s="99"/>
      <c r="I47" s="100" t="str">
        <f>IF(Type="Complete","Cash Medical Arrears:", IF(Type="PA Cash Medical","Cash Medical Arrears:", IF(Type="NPA Cash Medical", "Cash Medical Arrears:",IF(Type=" ","Cash Medical Arrears:", " "))))</f>
        <v>Cash Medical Arrears:</v>
      </c>
      <c r="J47" s="140">
        <f>IF(Type="Complete",SUM($C$32,$H$32),IF(Type="PA Cash Medical",SUM($C$32,$O$1),IF(Type="NPA Cash Medical",SUM($H$32,$O$1),0)))</f>
        <v>0</v>
      </c>
      <c r="K47" s="99"/>
      <c r="L47" s="99"/>
    </row>
    <row r="48" spans="1:12" x14ac:dyDescent="0.25">
      <c r="A48" s="100"/>
      <c r="B48" s="100"/>
      <c r="C48" s="100"/>
      <c r="D48" s="98"/>
      <c r="E48" s="98"/>
      <c r="F48" s="98"/>
      <c r="G48" s="99"/>
      <c r="H48" s="99"/>
      <c r="I48" s="100" t="str">
        <f>IF(Type=" ","Service Fees:",IF(Type="NPA Service Fees","Service Fees:",IF(Type="Complete","Service Fees:",IF(Type="NPA","NPA Service Fees:",IF(Type="PA Service Fees","Service Fees:"," ")))))</f>
        <v>Service Fees:</v>
      </c>
      <c r="J48" s="140">
        <f>IF(Type="Complete",SUM($C$28,$H$28),IF(Type="PA Service fees",SUM($C$28,$O$1),IF(Type="NPA",$H$28,IF(Type="NPA Service fees",SUM($H$28,$O$1),0))))</f>
        <v>0</v>
      </c>
      <c r="K48" s="99"/>
      <c r="L48" s="99"/>
    </row>
    <row r="49" spans="1:12" x14ac:dyDescent="0.25">
      <c r="A49" s="100"/>
      <c r="B49" s="100"/>
      <c r="C49" s="100"/>
      <c r="D49" s="98"/>
      <c r="E49" s="98"/>
      <c r="F49" s="98"/>
      <c r="G49" s="99"/>
      <c r="H49" s="99"/>
      <c r="I49" s="100" t="str">
        <f>IF(Type="Complete","Attorney Fees:",IF(Type="PA Attorney Fees","Attorney Fees:",IF(Type="NPA Attorney Fees","Attorney Fees:",IF(Type=" ","Attorney Fees:"," "))))</f>
        <v>Attorney Fees:</v>
      </c>
      <c r="J49" s="140">
        <f>IF(Type="NPA Attorney fees",SUM($H$30,$O$1),IF(Type="Complete",SUM($C$30,$H$30),IF(Type="PA Attorney fees",SUM($C$30,$O$1),0)))</f>
        <v>0</v>
      </c>
      <c r="K49" s="99"/>
      <c r="L49" s="99"/>
    </row>
    <row r="50" spans="1:12" ht="13.8" thickBot="1" x14ac:dyDescent="0.3">
      <c r="A50" s="100"/>
      <c r="B50" s="100" t="s">
        <v>23</v>
      </c>
      <c r="C50" s="124"/>
      <c r="D50" s="125"/>
      <c r="E50" s="98"/>
      <c r="F50" s="98"/>
      <c r="G50" s="99"/>
      <c r="H50" s="99"/>
      <c r="I50" s="100" t="str">
        <f>IF(Type="Complete","Total Other:",IF(Type="PA Other","Total Other:",IF(Type="NPA Other","Total Other:",IF(Type=" ","Total Other:"," "))))</f>
        <v>Total Other:</v>
      </c>
      <c r="J50" s="139">
        <f>IF(Type="Complete",SUM($C$34,$H$34),IF(Type="NPA Other",SUM($H$34,$O$1),IF(Type="PA other",SUM($C$34,$O$1),0)))</f>
        <v>0</v>
      </c>
      <c r="K50" s="99"/>
      <c r="L50" s="99"/>
    </row>
    <row r="51" spans="1:12" x14ac:dyDescent="0.25">
      <c r="A51" s="98"/>
      <c r="B51" s="98"/>
      <c r="C51" s="98"/>
      <c r="D51" s="98"/>
      <c r="E51" s="98"/>
      <c r="F51" s="98"/>
      <c r="G51" s="99"/>
      <c r="H51" s="99"/>
      <c r="I51" s="100" t="s">
        <v>28</v>
      </c>
      <c r="J51" s="141">
        <f>SUM(J42:J50)</f>
        <v>0</v>
      </c>
      <c r="K51" s="99"/>
      <c r="L51" s="99"/>
    </row>
    <row r="52" spans="1:12" x14ac:dyDescent="0.25">
      <c r="A52" s="98"/>
      <c r="B52" s="98"/>
      <c r="C52" s="98"/>
      <c r="D52" s="98"/>
      <c r="E52" s="98"/>
      <c r="F52" s="100" t="s">
        <v>26</v>
      </c>
      <c r="G52" s="123" t="s">
        <v>26</v>
      </c>
      <c r="H52" s="98"/>
      <c r="I52" s="98"/>
      <c r="J52" s="99"/>
      <c r="K52" s="99"/>
      <c r="L52" s="99"/>
    </row>
    <row r="53" spans="1:12" x14ac:dyDescent="0.25">
      <c r="A53" s="98"/>
      <c r="B53" s="98"/>
      <c r="C53" s="98"/>
      <c r="D53" s="98"/>
      <c r="E53" s="98"/>
      <c r="F53" s="98"/>
      <c r="G53" s="100" t="s">
        <v>26</v>
      </c>
      <c r="H53" s="123" t="s">
        <v>26</v>
      </c>
      <c r="I53" s="98" t="s">
        <v>24</v>
      </c>
      <c r="J53" s="197" t="str">
        <f>arrears!H53</f>
        <v xml:space="preserve"> </v>
      </c>
      <c r="K53" s="99"/>
      <c r="L53" s="99"/>
    </row>
    <row r="54" spans="1:12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9"/>
      <c r="K54" s="99"/>
      <c r="L54" s="99"/>
    </row>
    <row r="55" spans="1:12" ht="13.8" thickBot="1" x14ac:dyDescent="0.3">
      <c r="A55" s="244"/>
      <c r="B55" s="244"/>
      <c r="C55" s="125" t="str">
        <f>arrears!C55</f>
        <v xml:space="preserve"> </v>
      </c>
      <c r="D55" s="125"/>
      <c r="E55" s="125"/>
      <c r="F55" s="125"/>
      <c r="G55" s="125"/>
      <c r="H55" s="126" t="s">
        <v>26</v>
      </c>
      <c r="I55" s="126" t="s">
        <v>26</v>
      </c>
      <c r="J55" s="104"/>
      <c r="K55" s="127"/>
      <c r="L55" s="105"/>
    </row>
    <row r="56" spans="1:12" x14ac:dyDescent="0.25">
      <c r="A56" s="128" t="s">
        <v>61</v>
      </c>
      <c r="B56" s="106"/>
      <c r="C56" s="106"/>
      <c r="D56" s="106"/>
      <c r="E56" s="106"/>
      <c r="F56" s="99"/>
      <c r="G56" s="98" t="s">
        <v>69</v>
      </c>
      <c r="H56" s="2"/>
      <c r="I56" s="99"/>
      <c r="J56" s="99"/>
      <c r="K56" s="129" t="s">
        <v>70</v>
      </c>
      <c r="L56" s="99"/>
    </row>
    <row r="57" spans="1:12" x14ac:dyDescent="0.25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182"/>
    </row>
    <row r="58" spans="1:12" x14ac:dyDescent="0.2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82"/>
    </row>
    <row r="59" spans="1:12" x14ac:dyDescent="0.25">
      <c r="A59" s="99"/>
      <c r="B59" s="99"/>
      <c r="C59" s="99"/>
      <c r="D59" s="99"/>
      <c r="E59" s="99"/>
      <c r="F59" s="17"/>
      <c r="G59" s="99"/>
      <c r="H59" s="99"/>
      <c r="I59" s="99"/>
      <c r="J59" s="99"/>
      <c r="K59" s="99"/>
      <c r="L59" s="182"/>
    </row>
    <row r="60" spans="1:12" x14ac:dyDescent="0.25">
      <c r="A60" s="99"/>
      <c r="B60" s="130" t="s">
        <v>72</v>
      </c>
      <c r="C60" s="142" t="str">
        <f>C3</f>
        <v xml:space="preserve"> </v>
      </c>
      <c r="D60" s="99"/>
      <c r="E60" s="99"/>
      <c r="F60" s="17"/>
      <c r="G60" s="130" t="s">
        <v>26</v>
      </c>
      <c r="H60" s="130" t="s">
        <v>53</v>
      </c>
      <c r="I60" s="142" t="str">
        <f>arrears!$G$3</f>
        <v xml:space="preserve"> </v>
      </c>
      <c r="J60" s="99"/>
      <c r="K60" s="99"/>
      <c r="L60" s="182"/>
    </row>
    <row r="61" spans="1:12" x14ac:dyDescent="0.25">
      <c r="A61" s="99"/>
      <c r="B61" s="130" t="s">
        <v>73</v>
      </c>
      <c r="C61" s="142" t="str">
        <f>C4</f>
        <v xml:space="preserve"> </v>
      </c>
      <c r="D61" s="99"/>
      <c r="E61" s="99"/>
      <c r="F61" s="17"/>
      <c r="G61" s="99"/>
      <c r="H61" s="99"/>
      <c r="I61" s="99"/>
      <c r="J61" s="99"/>
      <c r="K61" s="99"/>
      <c r="L61" s="182"/>
    </row>
    <row r="62" spans="1:12" x14ac:dyDescent="0.25">
      <c r="A62" s="99"/>
      <c r="B62" s="99"/>
      <c r="C62" s="99"/>
      <c r="D62" s="99"/>
      <c r="E62" s="99"/>
      <c r="F62" s="17"/>
      <c r="G62" s="99"/>
      <c r="H62" s="99"/>
      <c r="I62" s="99"/>
      <c r="J62" s="99"/>
      <c r="K62" s="99"/>
      <c r="L62" s="182"/>
    </row>
    <row r="63" spans="1:12" x14ac:dyDescent="0.25">
      <c r="A63" s="99"/>
      <c r="B63" s="99"/>
      <c r="C63" s="99"/>
      <c r="D63" s="99"/>
      <c r="E63" s="99"/>
      <c r="F63" s="17"/>
      <c r="G63" s="99"/>
      <c r="H63" s="99"/>
      <c r="I63" s="99"/>
      <c r="J63" s="99"/>
      <c r="K63" s="99"/>
      <c r="L63" s="182"/>
    </row>
    <row r="64" spans="1:12" x14ac:dyDescent="0.25">
      <c r="A64" s="99"/>
      <c r="B64" s="99"/>
      <c r="C64" s="99"/>
      <c r="D64" s="99"/>
      <c r="E64" s="99"/>
      <c r="F64" s="17"/>
      <c r="G64" s="99"/>
      <c r="H64" s="99"/>
      <c r="I64" s="99"/>
      <c r="J64" s="99"/>
      <c r="K64" s="99"/>
      <c r="L64" s="182"/>
    </row>
    <row r="65" spans="1:12" ht="13.8" thickBot="1" x14ac:dyDescent="0.3">
      <c r="A65" s="99"/>
      <c r="B65" s="99"/>
      <c r="C65" s="99"/>
      <c r="D65" s="99"/>
      <c r="E65" s="99"/>
      <c r="F65" s="17"/>
      <c r="G65" s="99"/>
      <c r="H65" s="99"/>
      <c r="I65" s="99"/>
      <c r="J65" s="99"/>
      <c r="K65" s="99"/>
      <c r="L65" s="182"/>
    </row>
    <row r="66" spans="1:12" ht="13.8" thickBot="1" x14ac:dyDescent="0.3">
      <c r="A66" s="131" t="s">
        <v>2</v>
      </c>
      <c r="B66" s="131" t="str">
        <f>arrears!B66</f>
        <v xml:space="preserve"> </v>
      </c>
      <c r="C66" s="131"/>
      <c r="D66" s="131"/>
      <c r="E66" s="131"/>
      <c r="F66" s="18"/>
      <c r="G66" s="131" t="s">
        <v>2</v>
      </c>
      <c r="H66" s="131" t="str">
        <f>arrears!G66</f>
        <v xml:space="preserve"> </v>
      </c>
      <c r="I66" s="131"/>
      <c r="J66" s="131"/>
      <c r="K66" s="132"/>
      <c r="L66" s="183"/>
    </row>
    <row r="67" spans="1:12" ht="13.8" thickBot="1" x14ac:dyDescent="0.3">
      <c r="A67" s="131" t="s">
        <v>3</v>
      </c>
      <c r="B67" s="131" t="s">
        <v>4</v>
      </c>
      <c r="C67" s="131" t="s">
        <v>5</v>
      </c>
      <c r="D67" s="131" t="s">
        <v>6</v>
      </c>
      <c r="E67" s="131" t="s">
        <v>27</v>
      </c>
      <c r="F67" s="18"/>
      <c r="G67" s="131" t="s">
        <v>3</v>
      </c>
      <c r="H67" s="131" t="s">
        <v>4</v>
      </c>
      <c r="I67" s="131" t="s">
        <v>5</v>
      </c>
      <c r="J67" s="131" t="s">
        <v>6</v>
      </c>
      <c r="K67" s="131" t="s">
        <v>27</v>
      </c>
      <c r="L67" s="183"/>
    </row>
    <row r="68" spans="1:12" ht="13.8" thickBot="1" x14ac:dyDescent="0.3">
      <c r="A68" s="131" t="s">
        <v>7</v>
      </c>
      <c r="B68" s="145">
        <f>arrears!B68</f>
        <v>0</v>
      </c>
      <c r="C68" s="145">
        <f>arrears!C68</f>
        <v>0</v>
      </c>
      <c r="D68" s="145">
        <f>IF(F68="s",($O$5),IF(F68="j",($O$5),IF(F68="b",SUM(B68-C68),SUM(B68-C68))))</f>
        <v>0</v>
      </c>
      <c r="E68" s="146">
        <f t="shared" ref="E68:E79" si="0">IF(F68="s",Surcharge,IF(F68="n",0,IF(F68="b",0,IF(F68="j",0,IF(D68=0,0,IF(D68&gt;0,D68*Surcharge_Rate,IF(D68&lt;0,0)))))))</f>
        <v>0</v>
      </c>
      <c r="F68" s="18" t="s">
        <v>26</v>
      </c>
      <c r="G68" s="131" t="s">
        <v>7</v>
      </c>
      <c r="H68" s="145">
        <f>arrears!G68</f>
        <v>0</v>
      </c>
      <c r="I68" s="145">
        <f>arrears!H68</f>
        <v>0</v>
      </c>
      <c r="J68" s="145">
        <f>IF(L68="s",($O$5),IF(L68="j",($O$5),IF(F79="e",0,IF(F79="b",0,IF(L68="b",SUM(D79+H68-I68),SUM(D79+H68-I68))))))</f>
        <v>0</v>
      </c>
      <c r="K68" s="146">
        <f t="shared" ref="K68:K79" si="1">IF(L68="s",Surcharge,IF(L68="n",0,IF(L68="b",0,IF(L68="j",0,IF(J68=0,0,IF(J68&gt;0,J68*Surcharge_Rate,IF(J68&lt;0,0)))))))</f>
        <v>0</v>
      </c>
      <c r="L68" s="183" t="s">
        <v>26</v>
      </c>
    </row>
    <row r="69" spans="1:12" ht="13.8" thickBot="1" x14ac:dyDescent="0.3">
      <c r="A69" s="131" t="s">
        <v>8</v>
      </c>
      <c r="B69" s="145">
        <f>arrears!B69</f>
        <v>0</v>
      </c>
      <c r="C69" s="145">
        <f>arrears!C69</f>
        <v>0</v>
      </c>
      <c r="D69" s="145">
        <f>IF(F69="s",($O$5),IF(F69="j",($O$5),IF(F68="e",0,IF(F68="b",0,IF(F69="b",SUM(D68+B69-C69),SUM(D68+B69-C69))))))</f>
        <v>0</v>
      </c>
      <c r="E69" s="146">
        <f t="shared" si="0"/>
        <v>0</v>
      </c>
      <c r="F69" s="18" t="s">
        <v>26</v>
      </c>
      <c r="G69" s="131" t="s">
        <v>8</v>
      </c>
      <c r="H69" s="145">
        <f>arrears!G69</f>
        <v>0</v>
      </c>
      <c r="I69" s="145">
        <f>arrears!H69</f>
        <v>0</v>
      </c>
      <c r="J69" s="145">
        <f>IF(L69="s",($O$5),IF(L69="j",($O$5),IF(L68="e",0,IF(L68="b",0,IF(L69="b",SUM(J68+H69-I69),SUM(J68+H69-I69))))))</f>
        <v>0</v>
      </c>
      <c r="K69" s="146">
        <f t="shared" si="1"/>
        <v>0</v>
      </c>
      <c r="L69" s="183" t="s">
        <v>26</v>
      </c>
    </row>
    <row r="70" spans="1:12" ht="13.8" thickBot="1" x14ac:dyDescent="0.3">
      <c r="A70" s="131" t="s">
        <v>9</v>
      </c>
      <c r="B70" s="145">
        <f>arrears!B70</f>
        <v>0</v>
      </c>
      <c r="C70" s="145">
        <f>arrears!C70</f>
        <v>0</v>
      </c>
      <c r="D70" s="145">
        <f t="shared" ref="D70:D79" si="2">IF(F70="s",($O$5),IF(F70="j",($O$5),IF(F69="e",0,IF(F69="b",0,IF(F70="b",SUM(D69+B70-C70),SUM(D69+B70-C70))))))</f>
        <v>0</v>
      </c>
      <c r="E70" s="146">
        <f t="shared" si="0"/>
        <v>0</v>
      </c>
      <c r="F70" s="18" t="s">
        <v>26</v>
      </c>
      <c r="G70" s="131" t="s">
        <v>9</v>
      </c>
      <c r="H70" s="145">
        <f>arrears!G70</f>
        <v>0</v>
      </c>
      <c r="I70" s="145">
        <f>arrears!H70</f>
        <v>0</v>
      </c>
      <c r="J70" s="145">
        <f t="shared" ref="J70:J79" si="3">IF(L70="s",($O$5),IF(L70="j",($O$5),IF(L69="e",0,IF(L69="b",0,IF(L70="b",SUM(J69+H70-I70),SUM(J69+H70-I70))))))</f>
        <v>0</v>
      </c>
      <c r="K70" s="146">
        <f t="shared" si="1"/>
        <v>0</v>
      </c>
      <c r="L70" s="183" t="s">
        <v>26</v>
      </c>
    </row>
    <row r="71" spans="1:12" ht="13.8" thickBot="1" x14ac:dyDescent="0.3">
      <c r="A71" s="131" t="s">
        <v>10</v>
      </c>
      <c r="B71" s="145">
        <f>arrears!B71</f>
        <v>0</v>
      </c>
      <c r="C71" s="145">
        <f>arrears!C71</f>
        <v>0</v>
      </c>
      <c r="D71" s="145">
        <f t="shared" si="2"/>
        <v>0</v>
      </c>
      <c r="E71" s="146">
        <f t="shared" si="0"/>
        <v>0</v>
      </c>
      <c r="F71" s="18" t="s">
        <v>26</v>
      </c>
      <c r="G71" s="131" t="s">
        <v>10</v>
      </c>
      <c r="H71" s="145">
        <f>arrears!G71</f>
        <v>0</v>
      </c>
      <c r="I71" s="145">
        <f>arrears!H71</f>
        <v>0</v>
      </c>
      <c r="J71" s="145">
        <f t="shared" si="3"/>
        <v>0</v>
      </c>
      <c r="K71" s="146">
        <f t="shared" si="1"/>
        <v>0</v>
      </c>
      <c r="L71" s="183" t="s">
        <v>26</v>
      </c>
    </row>
    <row r="72" spans="1:12" ht="13.8" thickBot="1" x14ac:dyDescent="0.3">
      <c r="A72" s="131" t="s">
        <v>11</v>
      </c>
      <c r="B72" s="145">
        <f>arrears!B72</f>
        <v>0</v>
      </c>
      <c r="C72" s="145">
        <f>arrears!C72</f>
        <v>0</v>
      </c>
      <c r="D72" s="145">
        <f t="shared" si="2"/>
        <v>0</v>
      </c>
      <c r="E72" s="146">
        <f t="shared" si="0"/>
        <v>0</v>
      </c>
      <c r="F72" s="18" t="s">
        <v>26</v>
      </c>
      <c r="G72" s="131" t="s">
        <v>11</v>
      </c>
      <c r="H72" s="145">
        <f>arrears!G72</f>
        <v>0</v>
      </c>
      <c r="I72" s="145">
        <f>arrears!H72</f>
        <v>0</v>
      </c>
      <c r="J72" s="145">
        <f t="shared" si="3"/>
        <v>0</v>
      </c>
      <c r="K72" s="146">
        <f t="shared" si="1"/>
        <v>0</v>
      </c>
      <c r="L72" s="183" t="s">
        <v>26</v>
      </c>
    </row>
    <row r="73" spans="1:12" ht="13.8" thickBot="1" x14ac:dyDescent="0.3">
      <c r="A73" s="131" t="s">
        <v>12</v>
      </c>
      <c r="B73" s="145">
        <f>arrears!B73</f>
        <v>0</v>
      </c>
      <c r="C73" s="145">
        <f>arrears!C73</f>
        <v>0</v>
      </c>
      <c r="D73" s="145">
        <f t="shared" si="2"/>
        <v>0</v>
      </c>
      <c r="E73" s="146">
        <f t="shared" si="0"/>
        <v>0</v>
      </c>
      <c r="F73" s="18" t="s">
        <v>26</v>
      </c>
      <c r="G73" s="131" t="s">
        <v>12</v>
      </c>
      <c r="H73" s="145">
        <f>arrears!G73</f>
        <v>0</v>
      </c>
      <c r="I73" s="145">
        <f>arrears!H73</f>
        <v>0</v>
      </c>
      <c r="J73" s="145">
        <f t="shared" si="3"/>
        <v>0</v>
      </c>
      <c r="K73" s="146">
        <f t="shared" si="1"/>
        <v>0</v>
      </c>
      <c r="L73" s="183" t="s">
        <v>26</v>
      </c>
    </row>
    <row r="74" spans="1:12" ht="13.8" thickBot="1" x14ac:dyDescent="0.3">
      <c r="A74" s="131" t="s">
        <v>13</v>
      </c>
      <c r="B74" s="145">
        <f>arrears!B74</f>
        <v>0</v>
      </c>
      <c r="C74" s="145">
        <f>arrears!C74</f>
        <v>0</v>
      </c>
      <c r="D74" s="145">
        <f t="shared" si="2"/>
        <v>0</v>
      </c>
      <c r="E74" s="146">
        <f t="shared" si="0"/>
        <v>0</v>
      </c>
      <c r="F74" s="18" t="s">
        <v>26</v>
      </c>
      <c r="G74" s="131" t="s">
        <v>13</v>
      </c>
      <c r="H74" s="145">
        <f>arrears!G74</f>
        <v>0</v>
      </c>
      <c r="I74" s="145">
        <f>arrears!H74</f>
        <v>0</v>
      </c>
      <c r="J74" s="145">
        <f t="shared" si="3"/>
        <v>0</v>
      </c>
      <c r="K74" s="146">
        <f t="shared" si="1"/>
        <v>0</v>
      </c>
      <c r="L74" s="183" t="s">
        <v>26</v>
      </c>
    </row>
    <row r="75" spans="1:12" ht="13.8" thickBot="1" x14ac:dyDescent="0.3">
      <c r="A75" s="131" t="s">
        <v>14</v>
      </c>
      <c r="B75" s="145">
        <f>arrears!B75</f>
        <v>0</v>
      </c>
      <c r="C75" s="145">
        <f>arrears!C75</f>
        <v>0</v>
      </c>
      <c r="D75" s="145">
        <f t="shared" si="2"/>
        <v>0</v>
      </c>
      <c r="E75" s="146">
        <f t="shared" si="0"/>
        <v>0</v>
      </c>
      <c r="F75" s="18" t="s">
        <v>26</v>
      </c>
      <c r="G75" s="131" t="s">
        <v>14</v>
      </c>
      <c r="H75" s="145">
        <f>arrears!G75</f>
        <v>0</v>
      </c>
      <c r="I75" s="145">
        <f>arrears!H75</f>
        <v>0</v>
      </c>
      <c r="J75" s="145">
        <f t="shared" si="3"/>
        <v>0</v>
      </c>
      <c r="K75" s="146">
        <f t="shared" si="1"/>
        <v>0</v>
      </c>
      <c r="L75" s="183" t="s">
        <v>26</v>
      </c>
    </row>
    <row r="76" spans="1:12" ht="13.8" thickBot="1" x14ac:dyDescent="0.3">
      <c r="A76" s="131" t="s">
        <v>15</v>
      </c>
      <c r="B76" s="145">
        <f>arrears!B76</f>
        <v>0</v>
      </c>
      <c r="C76" s="145">
        <f>arrears!C76</f>
        <v>0</v>
      </c>
      <c r="D76" s="145">
        <f t="shared" si="2"/>
        <v>0</v>
      </c>
      <c r="E76" s="146">
        <f t="shared" si="0"/>
        <v>0</v>
      </c>
      <c r="F76" s="18" t="s">
        <v>26</v>
      </c>
      <c r="G76" s="131" t="s">
        <v>15</v>
      </c>
      <c r="H76" s="145">
        <f>arrears!G76</f>
        <v>0</v>
      </c>
      <c r="I76" s="145">
        <f>arrears!H76</f>
        <v>0</v>
      </c>
      <c r="J76" s="145">
        <f t="shared" si="3"/>
        <v>0</v>
      </c>
      <c r="K76" s="146">
        <f t="shared" si="1"/>
        <v>0</v>
      </c>
      <c r="L76" s="183" t="s">
        <v>26</v>
      </c>
    </row>
    <row r="77" spans="1:12" ht="13.8" thickBot="1" x14ac:dyDescent="0.3">
      <c r="A77" s="131" t="s">
        <v>16</v>
      </c>
      <c r="B77" s="145">
        <f>arrears!B77</f>
        <v>0</v>
      </c>
      <c r="C77" s="145">
        <f>arrears!C77</f>
        <v>0</v>
      </c>
      <c r="D77" s="145">
        <f t="shared" si="2"/>
        <v>0</v>
      </c>
      <c r="E77" s="146">
        <f t="shared" si="0"/>
        <v>0</v>
      </c>
      <c r="F77" s="18" t="s">
        <v>26</v>
      </c>
      <c r="G77" s="131" t="s">
        <v>16</v>
      </c>
      <c r="H77" s="145">
        <f>arrears!G77</f>
        <v>0</v>
      </c>
      <c r="I77" s="145">
        <f>arrears!H77</f>
        <v>0</v>
      </c>
      <c r="J77" s="145">
        <f t="shared" si="3"/>
        <v>0</v>
      </c>
      <c r="K77" s="146">
        <f t="shared" si="1"/>
        <v>0</v>
      </c>
      <c r="L77" s="183" t="s">
        <v>26</v>
      </c>
    </row>
    <row r="78" spans="1:12" ht="13.8" thickBot="1" x14ac:dyDescent="0.3">
      <c r="A78" s="131" t="s">
        <v>17</v>
      </c>
      <c r="B78" s="145">
        <f>arrears!B78</f>
        <v>0</v>
      </c>
      <c r="C78" s="145">
        <f>arrears!C78</f>
        <v>0</v>
      </c>
      <c r="D78" s="145">
        <f t="shared" si="2"/>
        <v>0</v>
      </c>
      <c r="E78" s="146">
        <f t="shared" si="0"/>
        <v>0</v>
      </c>
      <c r="F78" s="18" t="s">
        <v>26</v>
      </c>
      <c r="G78" s="131" t="s">
        <v>17</v>
      </c>
      <c r="H78" s="145">
        <f>arrears!G78</f>
        <v>0</v>
      </c>
      <c r="I78" s="145">
        <f>arrears!H78</f>
        <v>0</v>
      </c>
      <c r="J78" s="145">
        <f t="shared" si="3"/>
        <v>0</v>
      </c>
      <c r="K78" s="146">
        <f t="shared" si="1"/>
        <v>0</v>
      </c>
      <c r="L78" s="183" t="s">
        <v>26</v>
      </c>
    </row>
    <row r="79" spans="1:12" ht="13.8" thickBot="1" x14ac:dyDescent="0.3">
      <c r="A79" s="131" t="s">
        <v>18</v>
      </c>
      <c r="B79" s="145">
        <f>arrears!B79</f>
        <v>0</v>
      </c>
      <c r="C79" s="145">
        <f>arrears!C79</f>
        <v>0</v>
      </c>
      <c r="D79" s="145">
        <f t="shared" si="2"/>
        <v>0</v>
      </c>
      <c r="E79" s="146">
        <f t="shared" si="0"/>
        <v>0</v>
      </c>
      <c r="F79" s="18" t="s">
        <v>26</v>
      </c>
      <c r="G79" s="131" t="s">
        <v>18</v>
      </c>
      <c r="H79" s="145">
        <f>arrears!G79</f>
        <v>0</v>
      </c>
      <c r="I79" s="145">
        <f>arrears!H79</f>
        <v>0</v>
      </c>
      <c r="J79" s="145">
        <f t="shared" si="3"/>
        <v>0</v>
      </c>
      <c r="K79" s="146">
        <f t="shared" si="1"/>
        <v>0</v>
      </c>
      <c r="L79" s="183" t="s">
        <v>26</v>
      </c>
    </row>
    <row r="80" spans="1:12" ht="13.8" thickBot="1" x14ac:dyDescent="0.3">
      <c r="A80" s="133" t="s">
        <v>19</v>
      </c>
      <c r="B80" s="145">
        <f>SUM(B68:B79)</f>
        <v>0</v>
      </c>
      <c r="C80" s="145">
        <f>SUM(C68:C79)</f>
        <v>0</v>
      </c>
      <c r="D80" s="145" t="s">
        <v>26</v>
      </c>
      <c r="E80" s="145">
        <f>SUM(E68:E79)</f>
        <v>0</v>
      </c>
      <c r="F80" s="180"/>
      <c r="G80" s="133" t="s">
        <v>19</v>
      </c>
      <c r="H80" s="145">
        <f>SUM(H68:H79)</f>
        <v>0</v>
      </c>
      <c r="I80" s="145">
        <f>SUM(I68:I79)</f>
        <v>0</v>
      </c>
      <c r="J80" s="145" t="s">
        <v>26</v>
      </c>
      <c r="K80" s="145">
        <f>SUM(K68:K79)</f>
        <v>0</v>
      </c>
      <c r="L80" s="183"/>
    </row>
    <row r="81" spans="1:12" x14ac:dyDescent="0.25">
      <c r="A81" s="206">
        <f>arrears!A81</f>
        <v>0</v>
      </c>
      <c r="G81" s="206">
        <f>arrears!F81</f>
        <v>0</v>
      </c>
      <c r="L81" s="183"/>
    </row>
    <row r="82" spans="1:12" x14ac:dyDescent="0.25">
      <c r="A82" s="206">
        <f>arrears!A82</f>
        <v>0</v>
      </c>
      <c r="G82" s="206">
        <f>arrears!F82</f>
        <v>0</v>
      </c>
      <c r="L82" s="183"/>
    </row>
    <row r="83" spans="1:12" x14ac:dyDescent="0.25">
      <c r="A83" s="206">
        <f>arrears!A83</f>
        <v>0</v>
      </c>
      <c r="G83" s="206">
        <f>arrears!F83</f>
        <v>0</v>
      </c>
      <c r="L83" s="183"/>
    </row>
    <row r="84" spans="1:12" ht="13.8" thickBot="1" x14ac:dyDescent="0.3">
      <c r="A84" s="207">
        <f>arrears!A84</f>
        <v>0</v>
      </c>
      <c r="G84" s="207">
        <f>arrears!F84</f>
        <v>0</v>
      </c>
      <c r="L84" s="183"/>
    </row>
    <row r="85" spans="1:12" ht="13.8" thickBot="1" x14ac:dyDescent="0.3">
      <c r="A85" s="131" t="s">
        <v>2</v>
      </c>
      <c r="B85" s="131" t="str">
        <f>arrears!B85</f>
        <v xml:space="preserve"> </v>
      </c>
      <c r="C85" s="131"/>
      <c r="D85" s="131"/>
      <c r="E85" s="131"/>
      <c r="F85" s="18"/>
      <c r="G85" s="131" t="s">
        <v>2</v>
      </c>
      <c r="H85" s="131" t="str">
        <f>arrears!G85</f>
        <v xml:space="preserve"> </v>
      </c>
      <c r="I85" s="131"/>
      <c r="J85" s="131"/>
      <c r="K85" s="132"/>
      <c r="L85" s="183"/>
    </row>
    <row r="86" spans="1:12" ht="13.8" thickBot="1" x14ac:dyDescent="0.3">
      <c r="A86" s="131" t="s">
        <v>3</v>
      </c>
      <c r="B86" s="131" t="s">
        <v>4</v>
      </c>
      <c r="C86" s="131" t="s">
        <v>5</v>
      </c>
      <c r="D86" s="131" t="s">
        <v>6</v>
      </c>
      <c r="E86" s="131" t="s">
        <v>27</v>
      </c>
      <c r="F86" s="18"/>
      <c r="G86" s="131" t="s">
        <v>3</v>
      </c>
      <c r="H86" s="131" t="s">
        <v>4</v>
      </c>
      <c r="I86" s="131" t="s">
        <v>5</v>
      </c>
      <c r="J86" s="131" t="s">
        <v>6</v>
      </c>
      <c r="K86" s="131" t="s">
        <v>27</v>
      </c>
      <c r="L86" s="183"/>
    </row>
    <row r="87" spans="1:12" ht="13.8" thickBot="1" x14ac:dyDescent="0.3">
      <c r="A87" s="131" t="s">
        <v>7</v>
      </c>
      <c r="B87" s="145">
        <f>arrears!B87</f>
        <v>0</v>
      </c>
      <c r="C87" s="145">
        <f>arrears!C87</f>
        <v>0</v>
      </c>
      <c r="D87" s="145">
        <f>IF(F87="s",($O$5),IF(F87="j",0,IF(L79="e",0,IF(L79="b",0,IF(F87="b",SUM(J79+B87-C87),SUM(J79+B87-C87))))))</f>
        <v>0</v>
      </c>
      <c r="E87" s="146">
        <f t="shared" ref="E87:E98" si="4">IF(F87="s",Surcharge,IF(F87="n",0,IF(F87="b",0,IF(F87="j",0,IF(D87=0,0,IF(D87&gt;0,D87*Surcharge_Rate,IF(D87&lt;0,0)))))))</f>
        <v>0</v>
      </c>
      <c r="F87" s="18" t="s">
        <v>26</v>
      </c>
      <c r="G87" s="131" t="s">
        <v>7</v>
      </c>
      <c r="H87" s="145">
        <f>arrears!G87</f>
        <v>0</v>
      </c>
      <c r="I87" s="145">
        <f>arrears!H87</f>
        <v>0</v>
      </c>
      <c r="J87" s="145">
        <f>IF(L87="s",($O$5),IF(L87="j",($O$5),IF(F98="e",0,IF(F98="b",0,IF(L87="b",SUM(D98+H87-I87),SUM(D98+H87-I87))))))</f>
        <v>0</v>
      </c>
      <c r="K87" s="146">
        <f t="shared" ref="K87:K98" si="5">IF(L87="s",Surcharge,IF(L87="n",0,IF(L87="b",0,IF(L87="j",0,IF(J87=0,0,IF(J87&gt;0,J87*Surcharge_Rate,IF(J87&lt;0,0)))))))</f>
        <v>0</v>
      </c>
      <c r="L87" s="183" t="s">
        <v>26</v>
      </c>
    </row>
    <row r="88" spans="1:12" ht="13.8" thickBot="1" x14ac:dyDescent="0.3">
      <c r="A88" s="131" t="s">
        <v>8</v>
      </c>
      <c r="B88" s="145">
        <f>arrears!B88</f>
        <v>0</v>
      </c>
      <c r="C88" s="145">
        <f>arrears!C88</f>
        <v>0</v>
      </c>
      <c r="D88" s="145">
        <f t="shared" ref="D88:D98" si="6">IF(F88="s",($O$5),IF(F88="j",($O$5),IF(F87="e",0,IF(F87="b",0,IF(F88="b",SUM(D87+B88-C88),SUM(D87+B88-C88))))))</f>
        <v>0</v>
      </c>
      <c r="E88" s="146">
        <f t="shared" si="4"/>
        <v>0</v>
      </c>
      <c r="F88" s="18" t="s">
        <v>26</v>
      </c>
      <c r="G88" s="131" t="s">
        <v>8</v>
      </c>
      <c r="H88" s="145">
        <f>arrears!G88</f>
        <v>0</v>
      </c>
      <c r="I88" s="145">
        <f>arrears!H88</f>
        <v>0</v>
      </c>
      <c r="J88" s="145">
        <f t="shared" ref="J88:J98" si="7">IF(L88="s",($O$5),IF(L88="j",($O$5),IF(L87="e",0,IF(L87="b",0,IF(L88="b",SUM(J87+H88-I88),SUM(J87+H88-I88))))))</f>
        <v>0</v>
      </c>
      <c r="K88" s="146">
        <f t="shared" si="5"/>
        <v>0</v>
      </c>
      <c r="L88" s="183" t="s">
        <v>26</v>
      </c>
    </row>
    <row r="89" spans="1:12" ht="13.8" thickBot="1" x14ac:dyDescent="0.3">
      <c r="A89" s="131" t="s">
        <v>9</v>
      </c>
      <c r="B89" s="145">
        <f>arrears!B89</f>
        <v>0</v>
      </c>
      <c r="C89" s="145">
        <f>arrears!C89</f>
        <v>0</v>
      </c>
      <c r="D89" s="145">
        <f t="shared" si="6"/>
        <v>0</v>
      </c>
      <c r="E89" s="146">
        <f t="shared" si="4"/>
        <v>0</v>
      </c>
      <c r="F89" s="18" t="s">
        <v>26</v>
      </c>
      <c r="G89" s="131" t="s">
        <v>9</v>
      </c>
      <c r="H89" s="145">
        <f>arrears!G89</f>
        <v>0</v>
      </c>
      <c r="I89" s="145">
        <f>arrears!H89</f>
        <v>0</v>
      </c>
      <c r="J89" s="145">
        <f t="shared" si="7"/>
        <v>0</v>
      </c>
      <c r="K89" s="146">
        <f t="shared" si="5"/>
        <v>0</v>
      </c>
      <c r="L89" s="183" t="s">
        <v>26</v>
      </c>
    </row>
    <row r="90" spans="1:12" ht="13.8" thickBot="1" x14ac:dyDescent="0.3">
      <c r="A90" s="131" t="s">
        <v>10</v>
      </c>
      <c r="B90" s="145">
        <f>arrears!B90</f>
        <v>0</v>
      </c>
      <c r="C90" s="145">
        <f>arrears!C90</f>
        <v>0</v>
      </c>
      <c r="D90" s="145">
        <f t="shared" si="6"/>
        <v>0</v>
      </c>
      <c r="E90" s="146">
        <f t="shared" si="4"/>
        <v>0</v>
      </c>
      <c r="F90" s="18" t="s">
        <v>26</v>
      </c>
      <c r="G90" s="131" t="s">
        <v>10</v>
      </c>
      <c r="H90" s="145">
        <f>arrears!G90</f>
        <v>0</v>
      </c>
      <c r="I90" s="145">
        <f>arrears!H90</f>
        <v>0</v>
      </c>
      <c r="J90" s="145">
        <f t="shared" si="7"/>
        <v>0</v>
      </c>
      <c r="K90" s="146">
        <f t="shared" si="5"/>
        <v>0</v>
      </c>
      <c r="L90" s="183" t="s">
        <v>26</v>
      </c>
    </row>
    <row r="91" spans="1:12" ht="13.8" thickBot="1" x14ac:dyDescent="0.3">
      <c r="A91" s="131" t="s">
        <v>11</v>
      </c>
      <c r="B91" s="145">
        <f>arrears!B91</f>
        <v>0</v>
      </c>
      <c r="C91" s="145">
        <f>arrears!C91</f>
        <v>0</v>
      </c>
      <c r="D91" s="145">
        <f t="shared" si="6"/>
        <v>0</v>
      </c>
      <c r="E91" s="146">
        <f t="shared" si="4"/>
        <v>0</v>
      </c>
      <c r="F91" s="18" t="s">
        <v>26</v>
      </c>
      <c r="G91" s="131" t="s">
        <v>11</v>
      </c>
      <c r="H91" s="145">
        <f>arrears!G91</f>
        <v>0</v>
      </c>
      <c r="I91" s="145">
        <f>arrears!H91</f>
        <v>0</v>
      </c>
      <c r="J91" s="145">
        <f t="shared" si="7"/>
        <v>0</v>
      </c>
      <c r="K91" s="146">
        <f t="shared" si="5"/>
        <v>0</v>
      </c>
      <c r="L91" s="183" t="s">
        <v>26</v>
      </c>
    </row>
    <row r="92" spans="1:12" ht="13.8" thickBot="1" x14ac:dyDescent="0.3">
      <c r="A92" s="131" t="s">
        <v>12</v>
      </c>
      <c r="B92" s="145">
        <f>arrears!B92</f>
        <v>0</v>
      </c>
      <c r="C92" s="145">
        <f>arrears!C92</f>
        <v>0</v>
      </c>
      <c r="D92" s="145">
        <f t="shared" si="6"/>
        <v>0</v>
      </c>
      <c r="E92" s="146">
        <f t="shared" si="4"/>
        <v>0</v>
      </c>
      <c r="F92" s="18" t="s">
        <v>26</v>
      </c>
      <c r="G92" s="131" t="s">
        <v>12</v>
      </c>
      <c r="H92" s="145">
        <f>arrears!G92</f>
        <v>0</v>
      </c>
      <c r="I92" s="145">
        <f>arrears!H92</f>
        <v>0</v>
      </c>
      <c r="J92" s="145">
        <f t="shared" si="7"/>
        <v>0</v>
      </c>
      <c r="K92" s="146">
        <f t="shared" si="5"/>
        <v>0</v>
      </c>
      <c r="L92" s="183" t="s">
        <v>26</v>
      </c>
    </row>
    <row r="93" spans="1:12" ht="13.8" thickBot="1" x14ac:dyDescent="0.3">
      <c r="A93" s="131" t="s">
        <v>13</v>
      </c>
      <c r="B93" s="145">
        <f>arrears!B93</f>
        <v>0</v>
      </c>
      <c r="C93" s="145">
        <f>arrears!C93</f>
        <v>0</v>
      </c>
      <c r="D93" s="145">
        <f t="shared" si="6"/>
        <v>0</v>
      </c>
      <c r="E93" s="146">
        <f t="shared" si="4"/>
        <v>0</v>
      </c>
      <c r="F93" s="18" t="s">
        <v>26</v>
      </c>
      <c r="G93" s="131" t="s">
        <v>13</v>
      </c>
      <c r="H93" s="145">
        <f>arrears!G93</f>
        <v>0</v>
      </c>
      <c r="I93" s="145">
        <f>arrears!H93</f>
        <v>0</v>
      </c>
      <c r="J93" s="145">
        <f t="shared" si="7"/>
        <v>0</v>
      </c>
      <c r="K93" s="146">
        <f t="shared" si="5"/>
        <v>0</v>
      </c>
      <c r="L93" s="183" t="s">
        <v>26</v>
      </c>
    </row>
    <row r="94" spans="1:12" ht="13.8" thickBot="1" x14ac:dyDescent="0.3">
      <c r="A94" s="131" t="s">
        <v>14</v>
      </c>
      <c r="B94" s="145">
        <f>arrears!B94</f>
        <v>0</v>
      </c>
      <c r="C94" s="145">
        <f>arrears!C94</f>
        <v>0</v>
      </c>
      <c r="D94" s="145">
        <f t="shared" si="6"/>
        <v>0</v>
      </c>
      <c r="E94" s="146">
        <f t="shared" si="4"/>
        <v>0</v>
      </c>
      <c r="F94" s="18" t="s">
        <v>26</v>
      </c>
      <c r="G94" s="131" t="s">
        <v>14</v>
      </c>
      <c r="H94" s="145">
        <f>arrears!G94</f>
        <v>0</v>
      </c>
      <c r="I94" s="145">
        <f>arrears!H94</f>
        <v>0</v>
      </c>
      <c r="J94" s="145">
        <f t="shared" si="7"/>
        <v>0</v>
      </c>
      <c r="K94" s="146">
        <f t="shared" si="5"/>
        <v>0</v>
      </c>
      <c r="L94" s="183" t="s">
        <v>26</v>
      </c>
    </row>
    <row r="95" spans="1:12" ht="13.8" thickBot="1" x14ac:dyDescent="0.3">
      <c r="A95" s="131" t="s">
        <v>15</v>
      </c>
      <c r="B95" s="145">
        <f>arrears!B95</f>
        <v>0</v>
      </c>
      <c r="C95" s="145">
        <f>arrears!C95</f>
        <v>0</v>
      </c>
      <c r="D95" s="145">
        <f t="shared" si="6"/>
        <v>0</v>
      </c>
      <c r="E95" s="146">
        <f t="shared" si="4"/>
        <v>0</v>
      </c>
      <c r="F95" s="18" t="s">
        <v>26</v>
      </c>
      <c r="G95" s="131" t="s">
        <v>15</v>
      </c>
      <c r="H95" s="145">
        <f>arrears!G95</f>
        <v>0</v>
      </c>
      <c r="I95" s="145">
        <f>arrears!H95</f>
        <v>0</v>
      </c>
      <c r="J95" s="145">
        <f t="shared" si="7"/>
        <v>0</v>
      </c>
      <c r="K95" s="146">
        <f t="shared" si="5"/>
        <v>0</v>
      </c>
      <c r="L95" s="183" t="s">
        <v>26</v>
      </c>
    </row>
    <row r="96" spans="1:12" ht="13.8" thickBot="1" x14ac:dyDescent="0.3">
      <c r="A96" s="131" t="s">
        <v>16</v>
      </c>
      <c r="B96" s="145">
        <f>arrears!B96</f>
        <v>0</v>
      </c>
      <c r="C96" s="145">
        <f>arrears!C96</f>
        <v>0</v>
      </c>
      <c r="D96" s="145">
        <f t="shared" si="6"/>
        <v>0</v>
      </c>
      <c r="E96" s="146">
        <f t="shared" si="4"/>
        <v>0</v>
      </c>
      <c r="F96" s="18" t="s">
        <v>26</v>
      </c>
      <c r="G96" s="131" t="s">
        <v>16</v>
      </c>
      <c r="H96" s="145">
        <f>arrears!G96</f>
        <v>0</v>
      </c>
      <c r="I96" s="145">
        <f>arrears!H96</f>
        <v>0</v>
      </c>
      <c r="J96" s="145">
        <f t="shared" si="7"/>
        <v>0</v>
      </c>
      <c r="K96" s="146">
        <f t="shared" si="5"/>
        <v>0</v>
      </c>
      <c r="L96" s="183" t="s">
        <v>26</v>
      </c>
    </row>
    <row r="97" spans="1:12" ht="13.8" thickBot="1" x14ac:dyDescent="0.3">
      <c r="A97" s="131" t="s">
        <v>17</v>
      </c>
      <c r="B97" s="145">
        <f>arrears!B97</f>
        <v>0</v>
      </c>
      <c r="C97" s="145">
        <f>arrears!C97</f>
        <v>0</v>
      </c>
      <c r="D97" s="145">
        <f t="shared" si="6"/>
        <v>0</v>
      </c>
      <c r="E97" s="146">
        <f t="shared" si="4"/>
        <v>0</v>
      </c>
      <c r="F97" s="18" t="s">
        <v>26</v>
      </c>
      <c r="G97" s="131" t="s">
        <v>17</v>
      </c>
      <c r="H97" s="145">
        <f>arrears!G97</f>
        <v>0</v>
      </c>
      <c r="I97" s="145">
        <f>arrears!H97</f>
        <v>0</v>
      </c>
      <c r="J97" s="145">
        <f t="shared" si="7"/>
        <v>0</v>
      </c>
      <c r="K97" s="146">
        <f t="shared" si="5"/>
        <v>0</v>
      </c>
      <c r="L97" s="183" t="s">
        <v>26</v>
      </c>
    </row>
    <row r="98" spans="1:12" ht="13.8" thickBot="1" x14ac:dyDescent="0.3">
      <c r="A98" s="131" t="s">
        <v>18</v>
      </c>
      <c r="B98" s="145">
        <f>arrears!B98</f>
        <v>0</v>
      </c>
      <c r="C98" s="145">
        <f>arrears!C98</f>
        <v>0</v>
      </c>
      <c r="D98" s="145">
        <f t="shared" si="6"/>
        <v>0</v>
      </c>
      <c r="E98" s="146">
        <f t="shared" si="4"/>
        <v>0</v>
      </c>
      <c r="F98" s="18" t="s">
        <v>26</v>
      </c>
      <c r="G98" s="131" t="s">
        <v>18</v>
      </c>
      <c r="H98" s="145">
        <f>arrears!G98</f>
        <v>0</v>
      </c>
      <c r="I98" s="145">
        <f>arrears!H98</f>
        <v>0</v>
      </c>
      <c r="J98" s="145">
        <f t="shared" si="7"/>
        <v>0</v>
      </c>
      <c r="K98" s="146">
        <f t="shared" si="5"/>
        <v>0</v>
      </c>
      <c r="L98" s="183" t="s">
        <v>26</v>
      </c>
    </row>
    <row r="99" spans="1:12" ht="13.8" thickBot="1" x14ac:dyDescent="0.3">
      <c r="A99" s="133" t="s">
        <v>19</v>
      </c>
      <c r="B99" s="145">
        <f>SUM(B87:B98)</f>
        <v>0</v>
      </c>
      <c r="C99" s="145">
        <f>SUM(C87:C98)</f>
        <v>0</v>
      </c>
      <c r="D99" s="145" t="s">
        <v>26</v>
      </c>
      <c r="E99" s="145">
        <f>SUM(E87:E98)</f>
        <v>0</v>
      </c>
      <c r="F99" s="180"/>
      <c r="G99" s="133" t="s">
        <v>19</v>
      </c>
      <c r="H99" s="145">
        <f>SUM(H87:H98)</f>
        <v>0</v>
      </c>
      <c r="I99" s="145">
        <f>SUM(I87:I98)</f>
        <v>0</v>
      </c>
      <c r="J99" s="145" t="s">
        <v>26</v>
      </c>
      <c r="K99" s="145">
        <f>SUM(K87:K98)</f>
        <v>0</v>
      </c>
      <c r="L99" s="183"/>
    </row>
    <row r="100" spans="1:12" x14ac:dyDescent="0.25">
      <c r="A100" s="207">
        <f>arrears!A100</f>
        <v>0</v>
      </c>
      <c r="F100" s="18"/>
      <c r="G100" s="207">
        <f>arrears!F100</f>
        <v>0</v>
      </c>
      <c r="L100" s="183"/>
    </row>
    <row r="101" spans="1:12" x14ac:dyDescent="0.25">
      <c r="A101" s="207">
        <f>arrears!A101</f>
        <v>0</v>
      </c>
      <c r="F101" s="18"/>
      <c r="G101" s="207">
        <f>arrears!F101</f>
        <v>0</v>
      </c>
      <c r="L101" s="183"/>
    </row>
    <row r="102" spans="1:12" x14ac:dyDescent="0.25">
      <c r="A102" s="207">
        <f>arrears!A102</f>
        <v>0</v>
      </c>
      <c r="F102" s="18"/>
      <c r="G102" s="207">
        <f>arrears!F102</f>
        <v>0</v>
      </c>
      <c r="L102" s="183"/>
    </row>
    <row r="103" spans="1:12" x14ac:dyDescent="0.25">
      <c r="A103" s="207">
        <f>arrears!A103</f>
        <v>0</v>
      </c>
      <c r="F103" s="18"/>
      <c r="G103" s="207">
        <f>arrears!F103</f>
        <v>0</v>
      </c>
      <c r="L103" s="183"/>
    </row>
    <row r="104" spans="1:12" x14ac:dyDescent="0.25">
      <c r="A104" s="98"/>
      <c r="B104" s="98"/>
      <c r="C104" s="98"/>
      <c r="D104" s="98"/>
      <c r="E104" s="98"/>
      <c r="F104" s="18"/>
      <c r="G104" s="98"/>
      <c r="H104" s="100" t="s">
        <v>71</v>
      </c>
      <c r="I104" s="178">
        <f>SUM(B80,H80,B99,H99)-SUM(C80,I80,C99,I99)</f>
        <v>0</v>
      </c>
      <c r="J104" s="98"/>
      <c r="K104" s="98"/>
      <c r="L104" s="183"/>
    </row>
    <row r="105" spans="1:12" x14ac:dyDescent="0.25">
      <c r="A105" s="98"/>
      <c r="B105" s="98"/>
      <c r="C105" s="98"/>
      <c r="D105" s="98"/>
      <c r="E105" s="98"/>
      <c r="F105" s="18"/>
      <c r="G105" s="98"/>
      <c r="H105" s="98"/>
      <c r="I105" s="98"/>
      <c r="J105" s="98"/>
      <c r="K105" s="98"/>
      <c r="L105" s="183"/>
    </row>
    <row r="106" spans="1:12" x14ac:dyDescent="0.25">
      <c r="A106" s="98"/>
      <c r="B106" s="98"/>
      <c r="C106" s="98"/>
      <c r="D106" s="98"/>
      <c r="E106" s="98"/>
      <c r="F106" s="18"/>
      <c r="G106" s="98"/>
      <c r="H106" s="98"/>
      <c r="I106" s="98"/>
      <c r="J106" s="98"/>
      <c r="K106" s="98"/>
      <c r="L106" s="183"/>
    </row>
    <row r="107" spans="1:12" x14ac:dyDescent="0.25">
      <c r="A107" s="98"/>
      <c r="B107" s="98"/>
      <c r="C107" s="98"/>
      <c r="D107" s="98"/>
      <c r="E107" s="98"/>
      <c r="F107" s="18"/>
      <c r="G107" s="98"/>
      <c r="H107" s="98"/>
      <c r="I107" s="98"/>
      <c r="J107" s="98"/>
      <c r="K107" s="98"/>
      <c r="L107" s="183"/>
    </row>
    <row r="108" spans="1:12" x14ac:dyDescent="0.25">
      <c r="A108" s="98"/>
      <c r="B108" s="98"/>
      <c r="C108" s="98"/>
      <c r="D108" s="98"/>
      <c r="E108" s="98"/>
      <c r="F108" s="18"/>
      <c r="G108" s="98"/>
      <c r="H108" s="98"/>
      <c r="I108" s="98"/>
      <c r="J108" s="98"/>
      <c r="K108" s="98"/>
      <c r="L108" s="183"/>
    </row>
    <row r="109" spans="1:12" x14ac:dyDescent="0.25">
      <c r="A109" s="98"/>
      <c r="B109" s="100" t="s">
        <v>0</v>
      </c>
      <c r="C109" s="185" t="str">
        <f>C3</f>
        <v xml:space="preserve"> </v>
      </c>
      <c r="D109" s="98"/>
      <c r="E109" s="98"/>
      <c r="F109" s="18"/>
      <c r="G109" s="98"/>
      <c r="H109" s="100" t="s">
        <v>53</v>
      </c>
      <c r="I109" s="185" t="str">
        <f>arrears!$G$3</f>
        <v xml:space="preserve"> </v>
      </c>
      <c r="J109" s="98"/>
      <c r="K109" s="98"/>
      <c r="L109" s="183"/>
    </row>
    <row r="110" spans="1:12" x14ac:dyDescent="0.25">
      <c r="A110" s="98"/>
      <c r="B110" s="100" t="s">
        <v>1</v>
      </c>
      <c r="C110" s="185" t="str">
        <f>C4</f>
        <v xml:space="preserve"> </v>
      </c>
      <c r="D110" s="98"/>
      <c r="E110" s="98"/>
      <c r="F110" s="18"/>
      <c r="G110" s="98"/>
      <c r="H110" s="100" t="s">
        <v>26</v>
      </c>
      <c r="I110" s="98" t="s">
        <v>26</v>
      </c>
      <c r="J110" s="98"/>
      <c r="K110" s="98"/>
      <c r="L110" s="183"/>
    </row>
    <row r="111" spans="1:12" x14ac:dyDescent="0.25">
      <c r="A111" s="98"/>
      <c r="B111" s="98"/>
      <c r="C111" s="98"/>
      <c r="D111" s="98"/>
      <c r="E111" s="98"/>
      <c r="F111" s="18"/>
      <c r="G111" s="98"/>
      <c r="H111" s="98"/>
      <c r="I111" s="98"/>
      <c r="J111" s="98"/>
      <c r="K111" s="98"/>
      <c r="L111" s="183"/>
    </row>
    <row r="112" spans="1:12" x14ac:dyDescent="0.25">
      <c r="A112" s="98"/>
      <c r="B112" s="100" t="s">
        <v>26</v>
      </c>
      <c r="C112" s="122" t="s">
        <v>26</v>
      </c>
      <c r="D112" s="98"/>
      <c r="E112" s="98"/>
      <c r="F112" s="18"/>
      <c r="G112" s="98"/>
      <c r="H112" s="98"/>
      <c r="I112" s="98"/>
      <c r="J112" s="98"/>
      <c r="K112" s="98"/>
      <c r="L112" s="183"/>
    </row>
    <row r="113" spans="1:12" x14ac:dyDescent="0.25">
      <c r="A113" s="98"/>
      <c r="B113" s="98" t="s">
        <v>26</v>
      </c>
      <c r="C113" s="134" t="s">
        <v>26</v>
      </c>
      <c r="D113" s="98"/>
      <c r="E113" s="98"/>
      <c r="F113" s="18"/>
      <c r="G113" s="98"/>
      <c r="H113" s="98"/>
      <c r="I113" s="98"/>
      <c r="J113" s="98"/>
      <c r="K113" s="98"/>
      <c r="L113" s="183"/>
    </row>
    <row r="114" spans="1:12" ht="13.8" thickBot="1" x14ac:dyDescent="0.3">
      <c r="A114" s="98"/>
      <c r="B114" s="98"/>
      <c r="C114" s="98"/>
      <c r="D114" s="98"/>
      <c r="E114" s="98"/>
      <c r="F114" s="18"/>
      <c r="G114" s="98"/>
      <c r="H114" s="98"/>
      <c r="I114" s="98"/>
      <c r="J114" s="98"/>
      <c r="K114" s="98"/>
      <c r="L114" s="183"/>
    </row>
    <row r="115" spans="1:12" ht="13.8" thickBot="1" x14ac:dyDescent="0.3">
      <c r="A115" s="131" t="s">
        <v>2</v>
      </c>
      <c r="B115" s="131" t="str">
        <f>arrears!$B$115</f>
        <v xml:space="preserve"> </v>
      </c>
      <c r="C115" s="131"/>
      <c r="D115" s="131"/>
      <c r="E115" s="131"/>
      <c r="F115" s="18"/>
      <c r="G115" s="131" t="s">
        <v>2</v>
      </c>
      <c r="H115" s="131" t="str">
        <f>arrears!G115</f>
        <v xml:space="preserve"> </v>
      </c>
      <c r="I115" s="131"/>
      <c r="J115" s="131"/>
      <c r="K115" s="132"/>
      <c r="L115" s="183"/>
    </row>
    <row r="116" spans="1:12" ht="13.8" thickBot="1" x14ac:dyDescent="0.3">
      <c r="A116" s="131" t="s">
        <v>3</v>
      </c>
      <c r="B116" s="131" t="s">
        <v>4</v>
      </c>
      <c r="C116" s="131" t="s">
        <v>5</v>
      </c>
      <c r="D116" s="131" t="s">
        <v>6</v>
      </c>
      <c r="E116" s="131" t="s">
        <v>27</v>
      </c>
      <c r="F116" s="18"/>
      <c r="G116" s="131" t="s">
        <v>3</v>
      </c>
      <c r="H116" s="131" t="s">
        <v>4</v>
      </c>
      <c r="I116" s="131" t="s">
        <v>5</v>
      </c>
      <c r="J116" s="131" t="s">
        <v>6</v>
      </c>
      <c r="K116" s="131" t="s">
        <v>27</v>
      </c>
      <c r="L116" s="183"/>
    </row>
    <row r="117" spans="1:12" ht="13.8" thickBot="1" x14ac:dyDescent="0.3">
      <c r="A117" s="131" t="s">
        <v>7</v>
      </c>
      <c r="B117" s="145">
        <f>arrears!B117</f>
        <v>0</v>
      </c>
      <c r="C117" s="145">
        <f>arrears!C117</f>
        <v>0</v>
      </c>
      <c r="D117" s="145">
        <f>IF(F117="s",($O$5),IF(F117="j",($O$5),IF(L98="e",0,IF(L98="b",0,IF(F117="b",SUM(J98+B117-C117),SUM(J98+B117-C117))))))</f>
        <v>0</v>
      </c>
      <c r="E117" s="146">
        <f t="shared" ref="E117:E128" si="8">IF(F117="s",Surcharge,IF(F117="n",0,IF(F117="b",0,IF(F117="j",0,IF(D117=0,0,IF(D117&gt;0,D117*Surcharge_Rate,IF(D117&lt;0,0)))))))</f>
        <v>0</v>
      </c>
      <c r="F117" s="18"/>
      <c r="G117" s="131" t="s">
        <v>7</v>
      </c>
      <c r="H117" s="145">
        <f>arrears!G117</f>
        <v>0</v>
      </c>
      <c r="I117" s="145">
        <f>arrears!H117</f>
        <v>0</v>
      </c>
      <c r="J117" s="145">
        <f>IF(L117="s",($O$5),IF(L117="j",($O$5),IF(F128="e",0,IF(F128="b",0,IF(L117="b",SUM(D128+H117-I117),SUM(D128+H117-I117))))))</f>
        <v>0</v>
      </c>
      <c r="K117" s="146">
        <f t="shared" ref="K117:K128" si="9">IF(L117="s",Surcharge,IF(L117="n",0,IF(L117="b",0,IF(L117="j",0,IF(J117=0,0,IF(J117&gt;0,J117*Surcharge_Rate,IF(J117&lt;0,0)))))))</f>
        <v>0</v>
      </c>
      <c r="L117" s="183"/>
    </row>
    <row r="118" spans="1:12" ht="13.8" thickBot="1" x14ac:dyDescent="0.3">
      <c r="A118" s="131" t="s">
        <v>8</v>
      </c>
      <c r="B118" s="145">
        <f>arrears!B118</f>
        <v>0</v>
      </c>
      <c r="C118" s="145">
        <f>arrears!C118</f>
        <v>0</v>
      </c>
      <c r="D118" s="145">
        <f t="shared" ref="D118:D128" si="10">IF(F118="s",($O$5),IF(F118="j",($O$5),IF(F117="e",0,IF(F117="b",0,IF(F118="b",SUM(D117+B118-C118),SUM(D117+B118-C118))))))</f>
        <v>0</v>
      </c>
      <c r="E118" s="146">
        <f t="shared" si="8"/>
        <v>0</v>
      </c>
      <c r="F118" s="18"/>
      <c r="G118" s="131" t="s">
        <v>8</v>
      </c>
      <c r="H118" s="145">
        <f>arrears!G118</f>
        <v>0</v>
      </c>
      <c r="I118" s="145">
        <f>arrears!H118</f>
        <v>0</v>
      </c>
      <c r="J118" s="145">
        <f t="shared" ref="J118:J128" si="11">IF(L118="s",($O$5),IF(L118="j",($O$5),IF(L117="e",0,IF(L117="b",0,IF(L118="b",SUM(J117+H118-I118),SUM(J117+H118-I118))))))</f>
        <v>0</v>
      </c>
      <c r="K118" s="146">
        <f t="shared" si="9"/>
        <v>0</v>
      </c>
      <c r="L118" s="183"/>
    </row>
    <row r="119" spans="1:12" ht="13.8" thickBot="1" x14ac:dyDescent="0.3">
      <c r="A119" s="131" t="s">
        <v>9</v>
      </c>
      <c r="B119" s="145">
        <f>arrears!B119</f>
        <v>0</v>
      </c>
      <c r="C119" s="145">
        <f>arrears!C119</f>
        <v>0</v>
      </c>
      <c r="D119" s="145">
        <f t="shared" si="10"/>
        <v>0</v>
      </c>
      <c r="E119" s="146">
        <f t="shared" si="8"/>
        <v>0</v>
      </c>
      <c r="F119" s="18"/>
      <c r="G119" s="131" t="s">
        <v>9</v>
      </c>
      <c r="H119" s="145">
        <f>arrears!G119</f>
        <v>0</v>
      </c>
      <c r="I119" s="145">
        <f>arrears!H119</f>
        <v>0</v>
      </c>
      <c r="J119" s="145">
        <f t="shared" si="11"/>
        <v>0</v>
      </c>
      <c r="K119" s="146">
        <f t="shared" si="9"/>
        <v>0</v>
      </c>
      <c r="L119" s="183"/>
    </row>
    <row r="120" spans="1:12" ht="13.8" thickBot="1" x14ac:dyDescent="0.3">
      <c r="A120" s="131" t="s">
        <v>10</v>
      </c>
      <c r="B120" s="145">
        <f>arrears!B120</f>
        <v>0</v>
      </c>
      <c r="C120" s="145">
        <f>arrears!C120</f>
        <v>0</v>
      </c>
      <c r="D120" s="145">
        <f t="shared" si="10"/>
        <v>0</v>
      </c>
      <c r="E120" s="146">
        <f t="shared" si="8"/>
        <v>0</v>
      </c>
      <c r="F120" s="18"/>
      <c r="G120" s="131" t="s">
        <v>10</v>
      </c>
      <c r="H120" s="145">
        <f>arrears!G120</f>
        <v>0</v>
      </c>
      <c r="I120" s="145">
        <f>arrears!H120</f>
        <v>0</v>
      </c>
      <c r="J120" s="145">
        <f t="shared" si="11"/>
        <v>0</v>
      </c>
      <c r="K120" s="146">
        <f t="shared" si="9"/>
        <v>0</v>
      </c>
      <c r="L120" s="183"/>
    </row>
    <row r="121" spans="1:12" ht="13.8" thickBot="1" x14ac:dyDescent="0.3">
      <c r="A121" s="131" t="s">
        <v>11</v>
      </c>
      <c r="B121" s="145">
        <f>arrears!B121</f>
        <v>0</v>
      </c>
      <c r="C121" s="145">
        <f>arrears!C121</f>
        <v>0</v>
      </c>
      <c r="D121" s="145">
        <f t="shared" si="10"/>
        <v>0</v>
      </c>
      <c r="E121" s="146">
        <f t="shared" si="8"/>
        <v>0</v>
      </c>
      <c r="F121" s="18"/>
      <c r="G121" s="131" t="s">
        <v>11</v>
      </c>
      <c r="H121" s="145">
        <f>arrears!G121</f>
        <v>0</v>
      </c>
      <c r="I121" s="145">
        <f>arrears!H121</f>
        <v>0</v>
      </c>
      <c r="J121" s="145">
        <f t="shared" si="11"/>
        <v>0</v>
      </c>
      <c r="K121" s="146">
        <f t="shared" si="9"/>
        <v>0</v>
      </c>
      <c r="L121" s="183"/>
    </row>
    <row r="122" spans="1:12" ht="13.8" thickBot="1" x14ac:dyDescent="0.3">
      <c r="A122" s="131" t="s">
        <v>12</v>
      </c>
      <c r="B122" s="145">
        <f>arrears!B122</f>
        <v>0</v>
      </c>
      <c r="C122" s="145">
        <f>arrears!C122</f>
        <v>0</v>
      </c>
      <c r="D122" s="145">
        <f t="shared" si="10"/>
        <v>0</v>
      </c>
      <c r="E122" s="146">
        <f t="shared" si="8"/>
        <v>0</v>
      </c>
      <c r="F122" s="18"/>
      <c r="G122" s="131" t="s">
        <v>12</v>
      </c>
      <c r="H122" s="145">
        <f>arrears!G122</f>
        <v>0</v>
      </c>
      <c r="I122" s="145">
        <f>arrears!H122</f>
        <v>0</v>
      </c>
      <c r="J122" s="145">
        <f t="shared" si="11"/>
        <v>0</v>
      </c>
      <c r="K122" s="146">
        <f t="shared" si="9"/>
        <v>0</v>
      </c>
      <c r="L122" s="183"/>
    </row>
    <row r="123" spans="1:12" ht="13.8" thickBot="1" x14ac:dyDescent="0.3">
      <c r="A123" s="131" t="s">
        <v>13</v>
      </c>
      <c r="B123" s="145">
        <f>arrears!B123</f>
        <v>0</v>
      </c>
      <c r="C123" s="145">
        <f>arrears!C123</f>
        <v>0</v>
      </c>
      <c r="D123" s="145">
        <f t="shared" si="10"/>
        <v>0</v>
      </c>
      <c r="E123" s="146">
        <f t="shared" si="8"/>
        <v>0</v>
      </c>
      <c r="F123" s="18"/>
      <c r="G123" s="131" t="s">
        <v>13</v>
      </c>
      <c r="H123" s="145">
        <f>arrears!G123</f>
        <v>0</v>
      </c>
      <c r="I123" s="145">
        <f>arrears!H123</f>
        <v>0</v>
      </c>
      <c r="J123" s="145">
        <f t="shared" si="11"/>
        <v>0</v>
      </c>
      <c r="K123" s="146">
        <f t="shared" si="9"/>
        <v>0</v>
      </c>
      <c r="L123" s="183"/>
    </row>
    <row r="124" spans="1:12" ht="13.8" thickBot="1" x14ac:dyDescent="0.3">
      <c r="A124" s="131" t="s">
        <v>14</v>
      </c>
      <c r="B124" s="145">
        <f>arrears!B124</f>
        <v>0</v>
      </c>
      <c r="C124" s="145">
        <f>arrears!C124</f>
        <v>0</v>
      </c>
      <c r="D124" s="145">
        <f t="shared" si="10"/>
        <v>0</v>
      </c>
      <c r="E124" s="146">
        <f t="shared" si="8"/>
        <v>0</v>
      </c>
      <c r="F124" s="18"/>
      <c r="G124" s="131" t="s">
        <v>14</v>
      </c>
      <c r="H124" s="145">
        <f>arrears!G124</f>
        <v>0</v>
      </c>
      <c r="I124" s="145">
        <f>arrears!H124</f>
        <v>0</v>
      </c>
      <c r="J124" s="145">
        <f t="shared" si="11"/>
        <v>0</v>
      </c>
      <c r="K124" s="146">
        <f t="shared" si="9"/>
        <v>0</v>
      </c>
      <c r="L124" s="183"/>
    </row>
    <row r="125" spans="1:12" ht="13.8" thickBot="1" x14ac:dyDescent="0.3">
      <c r="A125" s="131" t="s">
        <v>15</v>
      </c>
      <c r="B125" s="145">
        <f>arrears!B125</f>
        <v>0</v>
      </c>
      <c r="C125" s="145">
        <f>arrears!C125</f>
        <v>0</v>
      </c>
      <c r="D125" s="145">
        <f t="shared" si="10"/>
        <v>0</v>
      </c>
      <c r="E125" s="146">
        <f t="shared" si="8"/>
        <v>0</v>
      </c>
      <c r="F125" s="18"/>
      <c r="G125" s="131" t="s">
        <v>15</v>
      </c>
      <c r="H125" s="145">
        <f>arrears!G125</f>
        <v>0</v>
      </c>
      <c r="I125" s="145">
        <f>arrears!H125</f>
        <v>0</v>
      </c>
      <c r="J125" s="145">
        <f t="shared" si="11"/>
        <v>0</v>
      </c>
      <c r="K125" s="146">
        <f t="shared" si="9"/>
        <v>0</v>
      </c>
      <c r="L125" s="183"/>
    </row>
    <row r="126" spans="1:12" ht="13.8" thickBot="1" x14ac:dyDescent="0.3">
      <c r="A126" s="131" t="s">
        <v>16</v>
      </c>
      <c r="B126" s="145">
        <f>arrears!B126</f>
        <v>0</v>
      </c>
      <c r="C126" s="145">
        <f>arrears!C126</f>
        <v>0</v>
      </c>
      <c r="D126" s="145">
        <f t="shared" si="10"/>
        <v>0</v>
      </c>
      <c r="E126" s="146">
        <f t="shared" si="8"/>
        <v>0</v>
      </c>
      <c r="F126" s="18"/>
      <c r="G126" s="131" t="s">
        <v>16</v>
      </c>
      <c r="H126" s="145">
        <f>arrears!G126</f>
        <v>0</v>
      </c>
      <c r="I126" s="145">
        <f>arrears!H126</f>
        <v>0</v>
      </c>
      <c r="J126" s="145">
        <f t="shared" si="11"/>
        <v>0</v>
      </c>
      <c r="K126" s="146">
        <f t="shared" si="9"/>
        <v>0</v>
      </c>
      <c r="L126" s="183"/>
    </row>
    <row r="127" spans="1:12" ht="13.8" thickBot="1" x14ac:dyDescent="0.3">
      <c r="A127" s="131" t="s">
        <v>17</v>
      </c>
      <c r="B127" s="145">
        <f>arrears!B127</f>
        <v>0</v>
      </c>
      <c r="C127" s="145">
        <f>arrears!C127</f>
        <v>0</v>
      </c>
      <c r="D127" s="145">
        <f t="shared" si="10"/>
        <v>0</v>
      </c>
      <c r="E127" s="146">
        <f t="shared" si="8"/>
        <v>0</v>
      </c>
      <c r="F127" s="18"/>
      <c r="G127" s="131" t="s">
        <v>17</v>
      </c>
      <c r="H127" s="145">
        <f>arrears!G127</f>
        <v>0</v>
      </c>
      <c r="I127" s="145">
        <f>arrears!H127</f>
        <v>0</v>
      </c>
      <c r="J127" s="145">
        <f t="shared" si="11"/>
        <v>0</v>
      </c>
      <c r="K127" s="146">
        <f t="shared" si="9"/>
        <v>0</v>
      </c>
      <c r="L127" s="183"/>
    </row>
    <row r="128" spans="1:12" ht="13.8" thickBot="1" x14ac:dyDescent="0.3">
      <c r="A128" s="131" t="s">
        <v>18</v>
      </c>
      <c r="B128" s="145">
        <f>arrears!B128</f>
        <v>0</v>
      </c>
      <c r="C128" s="145">
        <f>arrears!C128</f>
        <v>0</v>
      </c>
      <c r="D128" s="145">
        <f t="shared" si="10"/>
        <v>0</v>
      </c>
      <c r="E128" s="146">
        <f t="shared" si="8"/>
        <v>0</v>
      </c>
      <c r="F128" s="18"/>
      <c r="G128" s="131" t="s">
        <v>18</v>
      </c>
      <c r="H128" s="145">
        <f>arrears!G128</f>
        <v>0</v>
      </c>
      <c r="I128" s="145">
        <f>arrears!H128</f>
        <v>0</v>
      </c>
      <c r="J128" s="145">
        <f t="shared" si="11"/>
        <v>0</v>
      </c>
      <c r="K128" s="146">
        <f t="shared" si="9"/>
        <v>0</v>
      </c>
      <c r="L128" s="183"/>
    </row>
    <row r="129" spans="1:12" ht="13.8" thickBot="1" x14ac:dyDescent="0.3">
      <c r="A129" s="135" t="s">
        <v>19</v>
      </c>
      <c r="B129" s="145">
        <f>SUM(B117:B128)</f>
        <v>0</v>
      </c>
      <c r="C129" s="145">
        <f>SUM(C117:C128)</f>
        <v>0</v>
      </c>
      <c r="D129" s="145" t="s">
        <v>26</v>
      </c>
      <c r="E129" s="145">
        <f>SUM(E117:E128)</f>
        <v>0</v>
      </c>
      <c r="F129" s="184"/>
      <c r="G129" s="135" t="s">
        <v>19</v>
      </c>
      <c r="H129" s="145">
        <f>SUM(H117:H128)</f>
        <v>0</v>
      </c>
      <c r="I129" s="145">
        <f>SUM(I117:I128)</f>
        <v>0</v>
      </c>
      <c r="J129" s="145" t="s">
        <v>26</v>
      </c>
      <c r="K129" s="145">
        <f>SUM(K117:K128)</f>
        <v>0</v>
      </c>
      <c r="L129" s="183"/>
    </row>
    <row r="130" spans="1:12" x14ac:dyDescent="0.25">
      <c r="A130" s="207">
        <f>arrears!A130</f>
        <v>0</v>
      </c>
      <c r="F130" s="18"/>
      <c r="G130" s="207">
        <f>arrears!F130</f>
        <v>0</v>
      </c>
      <c r="L130" s="183"/>
    </row>
    <row r="131" spans="1:12" x14ac:dyDescent="0.25">
      <c r="A131" s="207">
        <f>arrears!A131</f>
        <v>0</v>
      </c>
      <c r="F131" s="18"/>
      <c r="G131" s="207">
        <f>arrears!F131</f>
        <v>0</v>
      </c>
      <c r="L131" s="183"/>
    </row>
    <row r="132" spans="1:12" x14ac:dyDescent="0.25">
      <c r="A132" s="207">
        <f>arrears!A132</f>
        <v>0</v>
      </c>
      <c r="F132" s="18"/>
      <c r="G132" s="207">
        <f>arrears!F132</f>
        <v>0</v>
      </c>
      <c r="L132" s="183"/>
    </row>
    <row r="133" spans="1:12" ht="13.8" thickBot="1" x14ac:dyDescent="0.3">
      <c r="A133" s="207">
        <f>arrears!A133</f>
        <v>0</v>
      </c>
      <c r="F133" s="18"/>
      <c r="G133" s="207">
        <f>arrears!F133</f>
        <v>0</v>
      </c>
      <c r="L133" s="183"/>
    </row>
    <row r="134" spans="1:12" ht="13.8" thickBot="1" x14ac:dyDescent="0.3">
      <c r="A134" s="131" t="s">
        <v>2</v>
      </c>
      <c r="B134" s="131" t="str">
        <f>arrears!B134</f>
        <v xml:space="preserve"> </v>
      </c>
      <c r="C134" s="131"/>
      <c r="D134" s="131"/>
      <c r="E134" s="131"/>
      <c r="F134" s="18"/>
      <c r="G134" s="131" t="s">
        <v>2</v>
      </c>
      <c r="H134" s="131" t="str">
        <f>arrears!G134</f>
        <v xml:space="preserve"> </v>
      </c>
      <c r="I134" s="131"/>
      <c r="J134" s="131"/>
      <c r="K134" s="132"/>
      <c r="L134" s="183"/>
    </row>
    <row r="135" spans="1:12" ht="13.8" thickBot="1" x14ac:dyDescent="0.3">
      <c r="A135" s="131" t="s">
        <v>3</v>
      </c>
      <c r="B135" s="131" t="s">
        <v>4</v>
      </c>
      <c r="C135" s="131" t="s">
        <v>5</v>
      </c>
      <c r="D135" s="131" t="s">
        <v>6</v>
      </c>
      <c r="E135" s="131" t="s">
        <v>27</v>
      </c>
      <c r="F135" s="18"/>
      <c r="G135" s="131" t="s">
        <v>3</v>
      </c>
      <c r="H135" s="131" t="s">
        <v>4</v>
      </c>
      <c r="I135" s="131" t="s">
        <v>5</v>
      </c>
      <c r="J135" s="131" t="s">
        <v>6</v>
      </c>
      <c r="K135" s="131" t="s">
        <v>27</v>
      </c>
      <c r="L135" s="183"/>
    </row>
    <row r="136" spans="1:12" ht="13.8" thickBot="1" x14ac:dyDescent="0.3">
      <c r="A136" s="131" t="s">
        <v>7</v>
      </c>
      <c r="B136" s="145">
        <f>arrears!B136</f>
        <v>0</v>
      </c>
      <c r="C136" s="145">
        <f>arrears!C136</f>
        <v>0</v>
      </c>
      <c r="D136" s="145">
        <f>IF(F136="s",($O$5),IF(F136="j",0,IF(L128="e",0,IF(L128="b",0,IF(F136="b",SUM(J128+B136-C136),SUM(J128+B136-C136))))))</f>
        <v>0</v>
      </c>
      <c r="E136" s="146">
        <f t="shared" ref="E136:E147" si="12">IF(F136="s",Surcharge,IF(F136="n",0,IF(F136="b",0,IF(F136="j",0,IF(D136=0,0,IF(D136&gt;0,D136*Surcharge_Rate,IF(D136&lt;0,0)))))))</f>
        <v>0</v>
      </c>
      <c r="F136" s="18"/>
      <c r="G136" s="131" t="s">
        <v>7</v>
      </c>
      <c r="H136" s="145">
        <f>arrears!G136</f>
        <v>0</v>
      </c>
      <c r="I136" s="145">
        <f>arrears!H136</f>
        <v>0</v>
      </c>
      <c r="J136" s="145">
        <f>IF(L136="s",($O$5),IF(L136="j",($O$5),IF(F147="e",0,IF(F147="b",0,IF(L136="b",SUM(D147+H136-I136),SUM(D147+H136-I136))))))</f>
        <v>0</v>
      </c>
      <c r="K136" s="146">
        <f t="shared" ref="K136:K147" si="13">IF(L136="s",Surcharge,IF(L136="n",0,IF(L136="b",0,IF(L136="j",0,IF(J136=0,0,IF(J136&gt;0,J136*Surcharge_Rate,IF(J136&lt;0,0)))))))</f>
        <v>0</v>
      </c>
      <c r="L136" s="183"/>
    </row>
    <row r="137" spans="1:12" ht="13.8" thickBot="1" x14ac:dyDescent="0.3">
      <c r="A137" s="131" t="s">
        <v>8</v>
      </c>
      <c r="B137" s="145">
        <f>arrears!B137</f>
        <v>0</v>
      </c>
      <c r="C137" s="145">
        <f>arrears!C137</f>
        <v>0</v>
      </c>
      <c r="D137" s="145">
        <f t="shared" ref="D137:D147" si="14">IF(F137="s",($O$5),IF(F137="j",($O$5),IF(F136="e",0,IF(F136="b",0,IF(F137="b",SUM(D136+B137-C137),SUM(D136+B137-C137))))))</f>
        <v>0</v>
      </c>
      <c r="E137" s="146">
        <f t="shared" si="12"/>
        <v>0</v>
      </c>
      <c r="F137" s="18"/>
      <c r="G137" s="131" t="s">
        <v>8</v>
      </c>
      <c r="H137" s="145">
        <f>arrears!G137</f>
        <v>0</v>
      </c>
      <c r="I137" s="145">
        <f>arrears!H137</f>
        <v>0</v>
      </c>
      <c r="J137" s="145">
        <f t="shared" ref="J137:J147" si="15">IF(L137="s",($O$5),IF(L137="j",($O$5),IF(L136="e",0,IF(L136="b",0,IF(L137="b",SUM(J136+H137-I137),SUM(J136+H137-I137))))))</f>
        <v>0</v>
      </c>
      <c r="K137" s="146">
        <f t="shared" si="13"/>
        <v>0</v>
      </c>
      <c r="L137" s="183"/>
    </row>
    <row r="138" spans="1:12" ht="13.8" thickBot="1" x14ac:dyDescent="0.3">
      <c r="A138" s="131" t="s">
        <v>9</v>
      </c>
      <c r="B138" s="145">
        <f>arrears!B138</f>
        <v>0</v>
      </c>
      <c r="C138" s="145">
        <f>arrears!C138</f>
        <v>0</v>
      </c>
      <c r="D138" s="145">
        <f t="shared" si="14"/>
        <v>0</v>
      </c>
      <c r="E138" s="146">
        <f t="shared" si="12"/>
        <v>0</v>
      </c>
      <c r="F138" s="18"/>
      <c r="G138" s="131" t="s">
        <v>9</v>
      </c>
      <c r="H138" s="145">
        <f>arrears!G138</f>
        <v>0</v>
      </c>
      <c r="I138" s="145">
        <f>arrears!H138</f>
        <v>0</v>
      </c>
      <c r="J138" s="145">
        <f t="shared" si="15"/>
        <v>0</v>
      </c>
      <c r="K138" s="146">
        <f t="shared" si="13"/>
        <v>0</v>
      </c>
      <c r="L138" s="183"/>
    </row>
    <row r="139" spans="1:12" ht="13.8" thickBot="1" x14ac:dyDescent="0.3">
      <c r="A139" s="131" t="s">
        <v>10</v>
      </c>
      <c r="B139" s="145">
        <f>arrears!B139</f>
        <v>0</v>
      </c>
      <c r="C139" s="145">
        <f>arrears!C139</f>
        <v>0</v>
      </c>
      <c r="D139" s="145">
        <f t="shared" si="14"/>
        <v>0</v>
      </c>
      <c r="E139" s="146">
        <f t="shared" si="12"/>
        <v>0</v>
      </c>
      <c r="F139" s="18"/>
      <c r="G139" s="131" t="s">
        <v>10</v>
      </c>
      <c r="H139" s="145">
        <f>arrears!G139</f>
        <v>0</v>
      </c>
      <c r="I139" s="145">
        <f>arrears!H139</f>
        <v>0</v>
      </c>
      <c r="J139" s="145">
        <f t="shared" si="15"/>
        <v>0</v>
      </c>
      <c r="K139" s="146">
        <f t="shared" si="13"/>
        <v>0</v>
      </c>
      <c r="L139" s="183"/>
    </row>
    <row r="140" spans="1:12" ht="13.8" thickBot="1" x14ac:dyDescent="0.3">
      <c r="A140" s="131" t="s">
        <v>11</v>
      </c>
      <c r="B140" s="145">
        <f>arrears!B140</f>
        <v>0</v>
      </c>
      <c r="C140" s="145">
        <f>arrears!C140</f>
        <v>0</v>
      </c>
      <c r="D140" s="145">
        <f t="shared" si="14"/>
        <v>0</v>
      </c>
      <c r="E140" s="146">
        <f t="shared" si="12"/>
        <v>0</v>
      </c>
      <c r="F140" s="18"/>
      <c r="G140" s="131" t="s">
        <v>11</v>
      </c>
      <c r="H140" s="145">
        <f>arrears!G140</f>
        <v>0</v>
      </c>
      <c r="I140" s="145">
        <f>arrears!H140</f>
        <v>0</v>
      </c>
      <c r="J140" s="145">
        <f t="shared" si="15"/>
        <v>0</v>
      </c>
      <c r="K140" s="146">
        <f t="shared" si="13"/>
        <v>0</v>
      </c>
      <c r="L140" s="183"/>
    </row>
    <row r="141" spans="1:12" ht="13.8" thickBot="1" x14ac:dyDescent="0.3">
      <c r="A141" s="131" t="s">
        <v>12</v>
      </c>
      <c r="B141" s="145">
        <f>arrears!B141</f>
        <v>0</v>
      </c>
      <c r="C141" s="145">
        <f>arrears!C141</f>
        <v>0</v>
      </c>
      <c r="D141" s="145">
        <f t="shared" si="14"/>
        <v>0</v>
      </c>
      <c r="E141" s="146">
        <f t="shared" si="12"/>
        <v>0</v>
      </c>
      <c r="F141" s="18"/>
      <c r="G141" s="131" t="s">
        <v>12</v>
      </c>
      <c r="H141" s="145">
        <f>arrears!G141</f>
        <v>0</v>
      </c>
      <c r="I141" s="145">
        <f>arrears!H141</f>
        <v>0</v>
      </c>
      <c r="J141" s="145">
        <f t="shared" si="15"/>
        <v>0</v>
      </c>
      <c r="K141" s="146">
        <f t="shared" si="13"/>
        <v>0</v>
      </c>
      <c r="L141" s="183"/>
    </row>
    <row r="142" spans="1:12" ht="13.8" thickBot="1" x14ac:dyDescent="0.3">
      <c r="A142" s="131" t="s">
        <v>13</v>
      </c>
      <c r="B142" s="145">
        <f>arrears!B142</f>
        <v>0</v>
      </c>
      <c r="C142" s="145">
        <f>arrears!C142</f>
        <v>0</v>
      </c>
      <c r="D142" s="145">
        <f t="shared" si="14"/>
        <v>0</v>
      </c>
      <c r="E142" s="146">
        <f t="shared" si="12"/>
        <v>0</v>
      </c>
      <c r="F142" s="18"/>
      <c r="G142" s="131" t="s">
        <v>13</v>
      </c>
      <c r="H142" s="145">
        <f>arrears!G142</f>
        <v>0</v>
      </c>
      <c r="I142" s="145">
        <f>arrears!H142</f>
        <v>0</v>
      </c>
      <c r="J142" s="145">
        <f t="shared" si="15"/>
        <v>0</v>
      </c>
      <c r="K142" s="146">
        <f t="shared" si="13"/>
        <v>0</v>
      </c>
      <c r="L142" s="183"/>
    </row>
    <row r="143" spans="1:12" ht="13.8" thickBot="1" x14ac:dyDescent="0.3">
      <c r="A143" s="131" t="s">
        <v>14</v>
      </c>
      <c r="B143" s="145">
        <f>arrears!B143</f>
        <v>0</v>
      </c>
      <c r="C143" s="145">
        <f>arrears!C143</f>
        <v>0</v>
      </c>
      <c r="D143" s="145">
        <f t="shared" si="14"/>
        <v>0</v>
      </c>
      <c r="E143" s="146">
        <f t="shared" si="12"/>
        <v>0</v>
      </c>
      <c r="F143" s="18"/>
      <c r="G143" s="131" t="s">
        <v>14</v>
      </c>
      <c r="H143" s="145">
        <f>arrears!G143</f>
        <v>0</v>
      </c>
      <c r="I143" s="145">
        <f>arrears!H143</f>
        <v>0</v>
      </c>
      <c r="J143" s="145">
        <f t="shared" si="15"/>
        <v>0</v>
      </c>
      <c r="K143" s="146">
        <f t="shared" si="13"/>
        <v>0</v>
      </c>
      <c r="L143" s="183"/>
    </row>
    <row r="144" spans="1:12" ht="13.8" thickBot="1" x14ac:dyDescent="0.3">
      <c r="A144" s="131" t="s">
        <v>15</v>
      </c>
      <c r="B144" s="145">
        <f>arrears!B144</f>
        <v>0</v>
      </c>
      <c r="C144" s="145">
        <f>arrears!C144</f>
        <v>0</v>
      </c>
      <c r="D144" s="145">
        <f t="shared" si="14"/>
        <v>0</v>
      </c>
      <c r="E144" s="146">
        <f t="shared" si="12"/>
        <v>0</v>
      </c>
      <c r="F144" s="18"/>
      <c r="G144" s="131" t="s">
        <v>15</v>
      </c>
      <c r="H144" s="145">
        <f>arrears!G144</f>
        <v>0</v>
      </c>
      <c r="I144" s="145">
        <f>arrears!H144</f>
        <v>0</v>
      </c>
      <c r="J144" s="145">
        <f t="shared" si="15"/>
        <v>0</v>
      </c>
      <c r="K144" s="146">
        <f t="shared" si="13"/>
        <v>0</v>
      </c>
      <c r="L144" s="183"/>
    </row>
    <row r="145" spans="1:12" ht="13.8" thickBot="1" x14ac:dyDescent="0.3">
      <c r="A145" s="131" t="s">
        <v>16</v>
      </c>
      <c r="B145" s="145">
        <f>arrears!B145</f>
        <v>0</v>
      </c>
      <c r="C145" s="145">
        <f>arrears!C145</f>
        <v>0</v>
      </c>
      <c r="D145" s="145">
        <f t="shared" si="14"/>
        <v>0</v>
      </c>
      <c r="E145" s="146">
        <f t="shared" si="12"/>
        <v>0</v>
      </c>
      <c r="F145" s="18"/>
      <c r="G145" s="131" t="s">
        <v>16</v>
      </c>
      <c r="H145" s="145">
        <f>arrears!G145</f>
        <v>0</v>
      </c>
      <c r="I145" s="145">
        <f>arrears!H145</f>
        <v>0</v>
      </c>
      <c r="J145" s="145">
        <f t="shared" si="15"/>
        <v>0</v>
      </c>
      <c r="K145" s="146">
        <f t="shared" si="13"/>
        <v>0</v>
      </c>
      <c r="L145" s="183"/>
    </row>
    <row r="146" spans="1:12" ht="13.8" thickBot="1" x14ac:dyDescent="0.3">
      <c r="A146" s="131" t="s">
        <v>17</v>
      </c>
      <c r="B146" s="145">
        <f>arrears!B146</f>
        <v>0</v>
      </c>
      <c r="C146" s="145">
        <f>arrears!C146</f>
        <v>0</v>
      </c>
      <c r="D146" s="145">
        <f t="shared" si="14"/>
        <v>0</v>
      </c>
      <c r="E146" s="146">
        <f t="shared" si="12"/>
        <v>0</v>
      </c>
      <c r="F146" s="18"/>
      <c r="G146" s="131" t="s">
        <v>17</v>
      </c>
      <c r="H146" s="145">
        <f>arrears!G146</f>
        <v>0</v>
      </c>
      <c r="I146" s="145">
        <f>arrears!H146</f>
        <v>0</v>
      </c>
      <c r="J146" s="145">
        <f t="shared" si="15"/>
        <v>0</v>
      </c>
      <c r="K146" s="146">
        <f t="shared" si="13"/>
        <v>0</v>
      </c>
      <c r="L146" s="183"/>
    </row>
    <row r="147" spans="1:12" ht="13.8" thickBot="1" x14ac:dyDescent="0.3">
      <c r="A147" s="131" t="s">
        <v>18</v>
      </c>
      <c r="B147" s="145">
        <f>arrears!B147</f>
        <v>0</v>
      </c>
      <c r="C147" s="145">
        <f>arrears!C147</f>
        <v>0</v>
      </c>
      <c r="D147" s="145">
        <f t="shared" si="14"/>
        <v>0</v>
      </c>
      <c r="E147" s="146">
        <f t="shared" si="12"/>
        <v>0</v>
      </c>
      <c r="F147" s="18"/>
      <c r="G147" s="131" t="s">
        <v>18</v>
      </c>
      <c r="H147" s="145">
        <f>arrears!G147</f>
        <v>0</v>
      </c>
      <c r="I147" s="145">
        <f>arrears!H147</f>
        <v>0</v>
      </c>
      <c r="J147" s="145">
        <f t="shared" si="15"/>
        <v>0</v>
      </c>
      <c r="K147" s="146">
        <f t="shared" si="13"/>
        <v>0</v>
      </c>
      <c r="L147" s="183"/>
    </row>
    <row r="148" spans="1:12" ht="13.8" thickBot="1" x14ac:dyDescent="0.3">
      <c r="A148" s="133" t="s">
        <v>19</v>
      </c>
      <c r="B148" s="145">
        <f>SUM(B136:B147)</f>
        <v>0</v>
      </c>
      <c r="C148" s="145">
        <f>SUM(C136:C147)</f>
        <v>0</v>
      </c>
      <c r="D148" s="145" t="s">
        <v>26</v>
      </c>
      <c r="E148" s="145">
        <f>SUM(E136:E147)</f>
        <v>0</v>
      </c>
      <c r="F148" s="180"/>
      <c r="G148" s="133" t="s">
        <v>19</v>
      </c>
      <c r="H148" s="145">
        <f>SUM(H136:H147)</f>
        <v>0</v>
      </c>
      <c r="I148" s="145">
        <f>SUM(I136:I147)</f>
        <v>0</v>
      </c>
      <c r="J148" s="145" t="s">
        <v>26</v>
      </c>
      <c r="K148" s="145">
        <f>SUM(K136:K147)</f>
        <v>0</v>
      </c>
      <c r="L148" s="183"/>
    </row>
    <row r="149" spans="1:12" x14ac:dyDescent="0.25">
      <c r="A149" s="207">
        <f>arrears!A149</f>
        <v>0</v>
      </c>
      <c r="F149" s="18"/>
      <c r="G149" s="207">
        <f>arrears!F149</f>
        <v>0</v>
      </c>
      <c r="L149" s="183"/>
    </row>
    <row r="150" spans="1:12" x14ac:dyDescent="0.25">
      <c r="A150" s="207">
        <f>arrears!A150</f>
        <v>0</v>
      </c>
      <c r="F150" s="18"/>
      <c r="G150" s="207">
        <f>arrears!F150</f>
        <v>0</v>
      </c>
      <c r="L150" s="183"/>
    </row>
    <row r="151" spans="1:12" x14ac:dyDescent="0.25">
      <c r="A151" s="207">
        <f>arrears!A151</f>
        <v>0</v>
      </c>
      <c r="F151" s="18"/>
      <c r="G151" s="207">
        <f>arrears!F151</f>
        <v>0</v>
      </c>
      <c r="L151" s="183"/>
    </row>
    <row r="152" spans="1:12" x14ac:dyDescent="0.25">
      <c r="A152" s="207">
        <f>arrears!A152</f>
        <v>0</v>
      </c>
      <c r="F152" s="18"/>
      <c r="G152" s="207">
        <f>arrears!F152</f>
        <v>0</v>
      </c>
      <c r="L152" s="183"/>
    </row>
    <row r="153" spans="1:12" x14ac:dyDescent="0.25">
      <c r="A153" s="98"/>
      <c r="B153" s="98"/>
      <c r="C153" s="98"/>
      <c r="D153" s="98"/>
      <c r="E153" s="98"/>
      <c r="F153" s="18"/>
      <c r="G153" s="98"/>
      <c r="H153" s="100" t="s">
        <v>71</v>
      </c>
      <c r="I153" s="178">
        <f>SUM(B129,H129,B148,H148)-SUM(C129,I129,C148,I148)</f>
        <v>0</v>
      </c>
      <c r="J153" s="98"/>
      <c r="K153" s="98"/>
      <c r="L153" s="183"/>
    </row>
    <row r="154" spans="1:12" x14ac:dyDescent="0.25">
      <c r="A154" s="98"/>
      <c r="B154" s="98"/>
      <c r="C154" s="98"/>
      <c r="D154" s="98"/>
      <c r="E154" s="98"/>
      <c r="F154" s="18"/>
      <c r="G154" s="98"/>
      <c r="H154" s="98"/>
      <c r="I154" s="98"/>
      <c r="J154" s="98"/>
      <c r="K154" s="98"/>
      <c r="L154" s="183"/>
    </row>
    <row r="155" spans="1:12" x14ac:dyDescent="0.25">
      <c r="A155" s="98"/>
      <c r="B155" s="98"/>
      <c r="C155" s="98"/>
      <c r="D155" s="98"/>
      <c r="E155" s="98"/>
      <c r="F155" s="18"/>
      <c r="G155" s="98"/>
      <c r="H155" s="98"/>
      <c r="I155" s="98"/>
      <c r="J155" s="98"/>
      <c r="K155" s="98"/>
      <c r="L155" s="183"/>
    </row>
    <row r="156" spans="1:12" x14ac:dyDescent="0.25">
      <c r="A156" s="98"/>
      <c r="B156" s="98"/>
      <c r="C156" s="98"/>
      <c r="D156" s="98"/>
      <c r="E156" s="98"/>
      <c r="F156" s="18"/>
      <c r="G156" s="98"/>
      <c r="H156" s="98"/>
      <c r="I156" s="98"/>
      <c r="J156" s="98"/>
      <c r="K156" s="98"/>
      <c r="L156" s="183"/>
    </row>
    <row r="157" spans="1:12" x14ac:dyDescent="0.25">
      <c r="A157" s="98"/>
      <c r="B157" s="98"/>
      <c r="C157" s="98"/>
      <c r="D157" s="98"/>
      <c r="E157" s="98"/>
      <c r="F157" s="18"/>
      <c r="G157" s="98"/>
      <c r="H157" s="98"/>
      <c r="I157" s="98"/>
      <c r="J157" s="98"/>
      <c r="K157" s="98"/>
      <c r="L157" s="183"/>
    </row>
    <row r="158" spans="1:12" x14ac:dyDescent="0.25">
      <c r="A158" s="98"/>
      <c r="B158" s="100" t="s">
        <v>0</v>
      </c>
      <c r="C158" s="185" t="str">
        <f>C3</f>
        <v xml:space="preserve"> </v>
      </c>
      <c r="D158" s="98"/>
      <c r="E158" s="98"/>
      <c r="F158" s="18"/>
      <c r="G158" s="98"/>
      <c r="H158" s="100" t="s">
        <v>53</v>
      </c>
      <c r="I158" s="185" t="str">
        <f>arrears!$G$3</f>
        <v xml:space="preserve"> </v>
      </c>
      <c r="J158" s="98"/>
      <c r="K158" s="98"/>
      <c r="L158" s="183"/>
    </row>
    <row r="159" spans="1:12" x14ac:dyDescent="0.25">
      <c r="A159" s="98"/>
      <c r="B159" s="100" t="s">
        <v>1</v>
      </c>
      <c r="C159" s="185" t="str">
        <f>C4</f>
        <v xml:space="preserve"> </v>
      </c>
      <c r="D159" s="98"/>
      <c r="E159" s="98"/>
      <c r="F159" s="18"/>
      <c r="G159" s="98"/>
      <c r="H159" s="100" t="s">
        <v>26</v>
      </c>
      <c r="I159" s="98" t="s">
        <v>26</v>
      </c>
      <c r="J159" s="98"/>
      <c r="K159" s="98"/>
      <c r="L159" s="183"/>
    </row>
    <row r="160" spans="1:12" x14ac:dyDescent="0.25">
      <c r="A160" s="98"/>
      <c r="B160" s="98"/>
      <c r="C160" s="98"/>
      <c r="D160" s="98"/>
      <c r="E160" s="98"/>
      <c r="F160" s="18"/>
      <c r="G160" s="98"/>
      <c r="H160" s="98"/>
      <c r="I160" s="98"/>
      <c r="J160" s="98"/>
      <c r="K160" s="98"/>
      <c r="L160" s="183"/>
    </row>
    <row r="161" spans="1:12" x14ac:dyDescent="0.25">
      <c r="A161" s="98"/>
      <c r="B161" s="100" t="s">
        <v>26</v>
      </c>
      <c r="C161" s="122" t="s">
        <v>26</v>
      </c>
      <c r="D161" s="98"/>
      <c r="E161" s="98"/>
      <c r="F161" s="18"/>
      <c r="G161" s="98"/>
      <c r="H161" s="98"/>
      <c r="I161" s="98"/>
      <c r="J161" s="98"/>
      <c r="K161" s="98"/>
      <c r="L161" s="183"/>
    </row>
    <row r="162" spans="1:12" x14ac:dyDescent="0.25">
      <c r="A162" s="98"/>
      <c r="B162" s="98" t="s">
        <v>26</v>
      </c>
      <c r="C162" s="134" t="s">
        <v>26</v>
      </c>
      <c r="D162" s="98"/>
      <c r="E162" s="98"/>
      <c r="F162" s="18"/>
      <c r="G162" s="98"/>
      <c r="H162" s="98"/>
      <c r="I162" s="98"/>
      <c r="J162" s="98"/>
      <c r="K162" s="98"/>
      <c r="L162" s="183"/>
    </row>
    <row r="163" spans="1:12" ht="13.8" thickBot="1" x14ac:dyDescent="0.3">
      <c r="A163" s="98"/>
      <c r="B163" s="98"/>
      <c r="C163" s="98"/>
      <c r="D163" s="98"/>
      <c r="E163" s="98"/>
      <c r="F163" s="18"/>
      <c r="G163" s="98"/>
      <c r="H163" s="98"/>
      <c r="I163" s="98"/>
      <c r="J163" s="98"/>
      <c r="K163" s="98"/>
      <c r="L163" s="183"/>
    </row>
    <row r="164" spans="1:12" ht="13.8" thickBot="1" x14ac:dyDescent="0.3">
      <c r="A164" s="131" t="s">
        <v>2</v>
      </c>
      <c r="B164" s="131" t="str">
        <f>arrears!B164</f>
        <v xml:space="preserve"> </v>
      </c>
      <c r="C164" s="131"/>
      <c r="D164" s="131"/>
      <c r="E164" s="131"/>
      <c r="F164" s="18"/>
      <c r="G164" s="131" t="s">
        <v>2</v>
      </c>
      <c r="H164" s="131" t="str">
        <f>arrears!G164</f>
        <v xml:space="preserve"> </v>
      </c>
      <c r="I164" s="131"/>
      <c r="J164" s="131"/>
      <c r="K164" s="132"/>
      <c r="L164" s="183"/>
    </row>
    <row r="165" spans="1:12" ht="13.8" thickBot="1" x14ac:dyDescent="0.3">
      <c r="A165" s="131" t="s">
        <v>3</v>
      </c>
      <c r="B165" s="131" t="s">
        <v>4</v>
      </c>
      <c r="C165" s="131" t="s">
        <v>5</v>
      </c>
      <c r="D165" s="131" t="s">
        <v>6</v>
      </c>
      <c r="E165" s="131" t="s">
        <v>27</v>
      </c>
      <c r="F165" s="18"/>
      <c r="G165" s="131" t="s">
        <v>3</v>
      </c>
      <c r="H165" s="131" t="s">
        <v>4</v>
      </c>
      <c r="I165" s="131" t="s">
        <v>5</v>
      </c>
      <c r="J165" s="131" t="s">
        <v>6</v>
      </c>
      <c r="K165" s="131" t="s">
        <v>27</v>
      </c>
      <c r="L165" s="183"/>
    </row>
    <row r="166" spans="1:12" ht="13.8" thickBot="1" x14ac:dyDescent="0.3">
      <c r="A166" s="131" t="s">
        <v>7</v>
      </c>
      <c r="B166" s="169">
        <f>arrears!B166</f>
        <v>0</v>
      </c>
      <c r="C166" s="169">
        <f>arrears!C166</f>
        <v>0</v>
      </c>
      <c r="D166" s="145">
        <f>IF(F166="s",($O$5),IF(F166="j",($O$5),IF(L147="e",0,IF(L147="b",0,IF(F166="b",SUM(J147+B166-C166),SUM(J147+B166-C166))))))</f>
        <v>0</v>
      </c>
      <c r="E166" s="146">
        <f t="shared" ref="E166:E177" si="16">IF(F166="s",Surcharge,IF(F166="n",0,IF(F166="b",0,IF(F166="j",0,IF(D166=0,0,IF(D166&gt;0,D166*Surcharge_Rate,IF(D166&lt;0,0)))))))</f>
        <v>0</v>
      </c>
      <c r="F166" s="18"/>
      <c r="G166" s="131" t="s">
        <v>7</v>
      </c>
      <c r="H166" s="169">
        <f>arrears!G166</f>
        <v>0</v>
      </c>
      <c r="I166" s="169">
        <f>arrears!H166</f>
        <v>0</v>
      </c>
      <c r="J166" s="145">
        <f>IF(L166="s",($O$5),IF(L166="j",($O$5),IF(F177="e",0,IF(F177="b",0,IF(L166="b",SUM(D177+H166-I166),SUM(D177+H166-I166))))))</f>
        <v>0</v>
      </c>
      <c r="K166" s="146">
        <f t="shared" ref="K166:K177" si="17">IF(L166="s",Surcharge,IF(L166="n",0,IF(L166="b",0,IF(L166="j",0,IF(J166=0,0,IF(J166&gt;0,J166*Surcharge_Rate,IF(J166&lt;0,0)))))))</f>
        <v>0</v>
      </c>
      <c r="L166" s="183"/>
    </row>
    <row r="167" spans="1:12" ht="13.8" thickBot="1" x14ac:dyDescent="0.3">
      <c r="A167" s="131" t="s">
        <v>8</v>
      </c>
      <c r="B167" s="169">
        <f>arrears!B167</f>
        <v>0</v>
      </c>
      <c r="C167" s="169">
        <f>arrears!C167</f>
        <v>0</v>
      </c>
      <c r="D167" s="145">
        <f t="shared" ref="D167:D177" si="18">IF(F167="s",($O$5),IF(F167="j",($O$5),IF(F166="e",0,IF(F166="b",0,IF(F167="b",SUM(D166+B167-C167),SUM(D166+B167-C167))))))</f>
        <v>0</v>
      </c>
      <c r="E167" s="146">
        <f t="shared" si="16"/>
        <v>0</v>
      </c>
      <c r="F167" s="18"/>
      <c r="G167" s="131" t="s">
        <v>8</v>
      </c>
      <c r="H167" s="169">
        <f>arrears!G167</f>
        <v>0</v>
      </c>
      <c r="I167" s="169">
        <f>arrears!H167</f>
        <v>0</v>
      </c>
      <c r="J167" s="145">
        <f t="shared" ref="J167:J177" si="19">IF(L167="s",($O$5),IF(L167="j",($O$5),IF(L166="e",0,IF(L166="b",0,IF(L167="b",SUM(J166+H167-I167),SUM(J166+H167-I167))))))</f>
        <v>0</v>
      </c>
      <c r="K167" s="146">
        <f t="shared" si="17"/>
        <v>0</v>
      </c>
      <c r="L167" s="183"/>
    </row>
    <row r="168" spans="1:12" ht="13.8" thickBot="1" x14ac:dyDescent="0.3">
      <c r="A168" s="131" t="s">
        <v>9</v>
      </c>
      <c r="B168" s="169">
        <f>arrears!B168</f>
        <v>0</v>
      </c>
      <c r="C168" s="169">
        <f>arrears!C168</f>
        <v>0</v>
      </c>
      <c r="D168" s="145">
        <f t="shared" si="18"/>
        <v>0</v>
      </c>
      <c r="E168" s="146">
        <f t="shared" si="16"/>
        <v>0</v>
      </c>
      <c r="F168" s="18"/>
      <c r="G168" s="131" t="s">
        <v>9</v>
      </c>
      <c r="H168" s="169">
        <f>arrears!G168</f>
        <v>0</v>
      </c>
      <c r="I168" s="169">
        <f>arrears!H168</f>
        <v>0</v>
      </c>
      <c r="J168" s="145">
        <f t="shared" si="19"/>
        <v>0</v>
      </c>
      <c r="K168" s="146">
        <f t="shared" si="17"/>
        <v>0</v>
      </c>
      <c r="L168" s="183"/>
    </row>
    <row r="169" spans="1:12" ht="13.8" thickBot="1" x14ac:dyDescent="0.3">
      <c r="A169" s="131" t="s">
        <v>10</v>
      </c>
      <c r="B169" s="169">
        <f>arrears!B169</f>
        <v>0</v>
      </c>
      <c r="C169" s="169">
        <f>arrears!C169</f>
        <v>0</v>
      </c>
      <c r="D169" s="145">
        <f t="shared" si="18"/>
        <v>0</v>
      </c>
      <c r="E169" s="146">
        <f t="shared" si="16"/>
        <v>0</v>
      </c>
      <c r="F169" s="18"/>
      <c r="G169" s="131" t="s">
        <v>10</v>
      </c>
      <c r="H169" s="169">
        <f>arrears!G169</f>
        <v>0</v>
      </c>
      <c r="I169" s="169">
        <f>arrears!H169</f>
        <v>0</v>
      </c>
      <c r="J169" s="145">
        <f t="shared" si="19"/>
        <v>0</v>
      </c>
      <c r="K169" s="146">
        <f t="shared" si="17"/>
        <v>0</v>
      </c>
      <c r="L169" s="183"/>
    </row>
    <row r="170" spans="1:12" ht="13.8" thickBot="1" x14ac:dyDescent="0.3">
      <c r="A170" s="131" t="s">
        <v>11</v>
      </c>
      <c r="B170" s="169">
        <f>arrears!B170</f>
        <v>0</v>
      </c>
      <c r="C170" s="169">
        <f>arrears!C170</f>
        <v>0</v>
      </c>
      <c r="D170" s="145">
        <f t="shared" si="18"/>
        <v>0</v>
      </c>
      <c r="E170" s="146">
        <f t="shared" si="16"/>
        <v>0</v>
      </c>
      <c r="F170" s="18"/>
      <c r="G170" s="131" t="s">
        <v>11</v>
      </c>
      <c r="H170" s="169">
        <f>arrears!G170</f>
        <v>0</v>
      </c>
      <c r="I170" s="169">
        <f>arrears!H170</f>
        <v>0</v>
      </c>
      <c r="J170" s="145">
        <f t="shared" si="19"/>
        <v>0</v>
      </c>
      <c r="K170" s="146">
        <f t="shared" si="17"/>
        <v>0</v>
      </c>
      <c r="L170" s="183"/>
    </row>
    <row r="171" spans="1:12" ht="13.8" thickBot="1" x14ac:dyDescent="0.3">
      <c r="A171" s="131" t="s">
        <v>12</v>
      </c>
      <c r="B171" s="169">
        <f>arrears!B171</f>
        <v>0</v>
      </c>
      <c r="C171" s="169">
        <f>arrears!C171</f>
        <v>0</v>
      </c>
      <c r="D171" s="145">
        <f t="shared" si="18"/>
        <v>0</v>
      </c>
      <c r="E171" s="146">
        <f t="shared" si="16"/>
        <v>0</v>
      </c>
      <c r="F171" s="18"/>
      <c r="G171" s="131" t="s">
        <v>12</v>
      </c>
      <c r="H171" s="169">
        <f>arrears!G171</f>
        <v>0</v>
      </c>
      <c r="I171" s="169">
        <f>arrears!H171</f>
        <v>0</v>
      </c>
      <c r="J171" s="145">
        <f t="shared" si="19"/>
        <v>0</v>
      </c>
      <c r="K171" s="146">
        <f t="shared" si="17"/>
        <v>0</v>
      </c>
      <c r="L171" s="183"/>
    </row>
    <row r="172" spans="1:12" ht="13.8" thickBot="1" x14ac:dyDescent="0.3">
      <c r="A172" s="131" t="s">
        <v>13</v>
      </c>
      <c r="B172" s="169">
        <f>arrears!B172</f>
        <v>0</v>
      </c>
      <c r="C172" s="169">
        <f>arrears!C172</f>
        <v>0</v>
      </c>
      <c r="D172" s="145">
        <f t="shared" si="18"/>
        <v>0</v>
      </c>
      <c r="E172" s="146">
        <f t="shared" si="16"/>
        <v>0</v>
      </c>
      <c r="F172" s="18"/>
      <c r="G172" s="131" t="s">
        <v>13</v>
      </c>
      <c r="H172" s="169">
        <f>arrears!G172</f>
        <v>0</v>
      </c>
      <c r="I172" s="169">
        <f>arrears!H172</f>
        <v>0</v>
      </c>
      <c r="J172" s="145">
        <f t="shared" si="19"/>
        <v>0</v>
      </c>
      <c r="K172" s="146">
        <f t="shared" si="17"/>
        <v>0</v>
      </c>
      <c r="L172" s="183"/>
    </row>
    <row r="173" spans="1:12" ht="13.8" thickBot="1" x14ac:dyDescent="0.3">
      <c r="A173" s="131" t="s">
        <v>14</v>
      </c>
      <c r="B173" s="169">
        <f>arrears!B173</f>
        <v>0</v>
      </c>
      <c r="C173" s="169">
        <f>arrears!C173</f>
        <v>0</v>
      </c>
      <c r="D173" s="145">
        <f t="shared" si="18"/>
        <v>0</v>
      </c>
      <c r="E173" s="146">
        <f t="shared" si="16"/>
        <v>0</v>
      </c>
      <c r="F173" s="18"/>
      <c r="G173" s="131" t="s">
        <v>14</v>
      </c>
      <c r="H173" s="169">
        <f>arrears!G173</f>
        <v>0</v>
      </c>
      <c r="I173" s="169">
        <f>arrears!H173</f>
        <v>0</v>
      </c>
      <c r="J173" s="145">
        <f t="shared" si="19"/>
        <v>0</v>
      </c>
      <c r="K173" s="146">
        <f t="shared" si="17"/>
        <v>0</v>
      </c>
      <c r="L173" s="183"/>
    </row>
    <row r="174" spans="1:12" ht="13.8" thickBot="1" x14ac:dyDescent="0.3">
      <c r="A174" s="131" t="s">
        <v>15</v>
      </c>
      <c r="B174" s="169">
        <f>arrears!B174</f>
        <v>0</v>
      </c>
      <c r="C174" s="169">
        <f>arrears!C174</f>
        <v>0</v>
      </c>
      <c r="D174" s="145">
        <f t="shared" si="18"/>
        <v>0</v>
      </c>
      <c r="E174" s="146">
        <f t="shared" si="16"/>
        <v>0</v>
      </c>
      <c r="F174" s="18"/>
      <c r="G174" s="131" t="s">
        <v>15</v>
      </c>
      <c r="H174" s="169">
        <f>arrears!G174</f>
        <v>0</v>
      </c>
      <c r="I174" s="169">
        <f>arrears!H174</f>
        <v>0</v>
      </c>
      <c r="J174" s="145">
        <f t="shared" si="19"/>
        <v>0</v>
      </c>
      <c r="K174" s="146">
        <f t="shared" si="17"/>
        <v>0</v>
      </c>
      <c r="L174" s="183"/>
    </row>
    <row r="175" spans="1:12" ht="13.8" thickBot="1" x14ac:dyDescent="0.3">
      <c r="A175" s="131" t="s">
        <v>16</v>
      </c>
      <c r="B175" s="169">
        <f>arrears!B175</f>
        <v>0</v>
      </c>
      <c r="C175" s="169">
        <f>arrears!C175</f>
        <v>0</v>
      </c>
      <c r="D175" s="145">
        <f t="shared" si="18"/>
        <v>0</v>
      </c>
      <c r="E175" s="146">
        <f t="shared" si="16"/>
        <v>0</v>
      </c>
      <c r="F175" s="18"/>
      <c r="G175" s="131" t="s">
        <v>16</v>
      </c>
      <c r="H175" s="169">
        <f>arrears!G175</f>
        <v>0</v>
      </c>
      <c r="I175" s="169">
        <f>arrears!H175</f>
        <v>0</v>
      </c>
      <c r="J175" s="145">
        <f t="shared" si="19"/>
        <v>0</v>
      </c>
      <c r="K175" s="146">
        <f t="shared" si="17"/>
        <v>0</v>
      </c>
      <c r="L175" s="183"/>
    </row>
    <row r="176" spans="1:12" ht="13.8" thickBot="1" x14ac:dyDescent="0.3">
      <c r="A176" s="131" t="s">
        <v>17</v>
      </c>
      <c r="B176" s="169">
        <f>arrears!B176</f>
        <v>0</v>
      </c>
      <c r="C176" s="169">
        <f>arrears!C176</f>
        <v>0</v>
      </c>
      <c r="D176" s="145">
        <f t="shared" si="18"/>
        <v>0</v>
      </c>
      <c r="E176" s="146">
        <f t="shared" si="16"/>
        <v>0</v>
      </c>
      <c r="F176" s="18"/>
      <c r="G176" s="131" t="s">
        <v>17</v>
      </c>
      <c r="H176" s="169">
        <f>arrears!G176</f>
        <v>0</v>
      </c>
      <c r="I176" s="169">
        <f>arrears!H176</f>
        <v>0</v>
      </c>
      <c r="J176" s="145">
        <f t="shared" si="19"/>
        <v>0</v>
      </c>
      <c r="K176" s="146">
        <f t="shared" si="17"/>
        <v>0</v>
      </c>
      <c r="L176" s="183"/>
    </row>
    <row r="177" spans="1:12" ht="13.8" thickBot="1" x14ac:dyDescent="0.3">
      <c r="A177" s="131" t="s">
        <v>18</v>
      </c>
      <c r="B177" s="169">
        <f>arrears!B177</f>
        <v>0</v>
      </c>
      <c r="C177" s="169">
        <f>arrears!C177</f>
        <v>0</v>
      </c>
      <c r="D177" s="145">
        <f t="shared" si="18"/>
        <v>0</v>
      </c>
      <c r="E177" s="146">
        <f t="shared" si="16"/>
        <v>0</v>
      </c>
      <c r="F177" s="18"/>
      <c r="G177" s="131" t="s">
        <v>18</v>
      </c>
      <c r="H177" s="169">
        <f>arrears!G177</f>
        <v>0</v>
      </c>
      <c r="I177" s="169">
        <f>arrears!H177</f>
        <v>0</v>
      </c>
      <c r="J177" s="145">
        <f t="shared" si="19"/>
        <v>0</v>
      </c>
      <c r="K177" s="146">
        <f t="shared" si="17"/>
        <v>0</v>
      </c>
      <c r="L177" s="183"/>
    </row>
    <row r="178" spans="1:12" ht="13.8" thickBot="1" x14ac:dyDescent="0.3">
      <c r="A178" s="133" t="s">
        <v>19</v>
      </c>
      <c r="B178" s="169">
        <f>SUM(B166:B177)</f>
        <v>0</v>
      </c>
      <c r="C178" s="169">
        <f>SUM(C166:C177)</f>
        <v>0</v>
      </c>
      <c r="D178" s="169" t="s">
        <v>26</v>
      </c>
      <c r="E178" s="170">
        <f>SUM(E166:E177)</f>
        <v>0</v>
      </c>
      <c r="F178" s="180"/>
      <c r="G178" s="133" t="s">
        <v>19</v>
      </c>
      <c r="H178" s="169">
        <f>SUM(H166:H177)</f>
        <v>0</v>
      </c>
      <c r="I178" s="169">
        <f>SUM(I166:I177)</f>
        <v>0</v>
      </c>
      <c r="J178" s="169" t="s">
        <v>26</v>
      </c>
      <c r="K178" s="170">
        <f>SUM(K166:K177)</f>
        <v>0</v>
      </c>
      <c r="L178" s="183"/>
    </row>
    <row r="179" spans="1:12" x14ac:dyDescent="0.25">
      <c r="A179" s="207">
        <f>arrears!A179</f>
        <v>0</v>
      </c>
      <c r="F179" s="18"/>
      <c r="G179" s="207">
        <f>arrears!F179</f>
        <v>0</v>
      </c>
      <c r="L179" s="183"/>
    </row>
    <row r="180" spans="1:12" x14ac:dyDescent="0.25">
      <c r="A180" s="207">
        <f>arrears!A180</f>
        <v>0</v>
      </c>
      <c r="F180" s="18"/>
      <c r="G180" s="207">
        <f>arrears!F180</f>
        <v>0</v>
      </c>
      <c r="L180" s="183"/>
    </row>
    <row r="181" spans="1:12" x14ac:dyDescent="0.25">
      <c r="A181" s="207">
        <f>arrears!A181</f>
        <v>0</v>
      </c>
      <c r="F181" s="18"/>
      <c r="G181" s="207">
        <f>arrears!F181</f>
        <v>0</v>
      </c>
      <c r="L181" s="183"/>
    </row>
    <row r="182" spans="1:12" ht="13.8" thickBot="1" x14ac:dyDescent="0.3">
      <c r="A182" s="207">
        <f>arrears!A182</f>
        <v>0</v>
      </c>
      <c r="F182" s="18"/>
      <c r="G182" s="207">
        <f>arrears!F182</f>
        <v>0</v>
      </c>
      <c r="L182" s="183"/>
    </row>
    <row r="183" spans="1:12" ht="13.8" thickBot="1" x14ac:dyDescent="0.3">
      <c r="A183" s="131" t="s">
        <v>2</v>
      </c>
      <c r="B183" s="131" t="str">
        <f>arrears!B183</f>
        <v xml:space="preserve"> </v>
      </c>
      <c r="C183" s="131"/>
      <c r="D183" s="131"/>
      <c r="E183" s="131"/>
      <c r="F183" s="18"/>
      <c r="G183" s="131" t="s">
        <v>2</v>
      </c>
      <c r="H183" s="131" t="str">
        <f>arrears!G183</f>
        <v xml:space="preserve"> </v>
      </c>
      <c r="I183" s="131"/>
      <c r="J183" s="131"/>
      <c r="K183" s="132"/>
      <c r="L183" s="183"/>
    </row>
    <row r="184" spans="1:12" ht="13.8" thickBot="1" x14ac:dyDescent="0.3">
      <c r="A184" s="131" t="s">
        <v>3</v>
      </c>
      <c r="B184" s="131" t="s">
        <v>4</v>
      </c>
      <c r="C184" s="131" t="s">
        <v>5</v>
      </c>
      <c r="D184" s="131" t="s">
        <v>6</v>
      </c>
      <c r="E184" s="131" t="s">
        <v>27</v>
      </c>
      <c r="F184" s="18"/>
      <c r="G184" s="131" t="s">
        <v>3</v>
      </c>
      <c r="H184" s="131" t="s">
        <v>4</v>
      </c>
      <c r="I184" s="131" t="s">
        <v>5</v>
      </c>
      <c r="J184" s="131" t="s">
        <v>6</v>
      </c>
      <c r="K184" s="131" t="s">
        <v>27</v>
      </c>
      <c r="L184" s="183"/>
    </row>
    <row r="185" spans="1:12" ht="13.8" thickBot="1" x14ac:dyDescent="0.3">
      <c r="A185" s="131" t="s">
        <v>7</v>
      </c>
      <c r="B185" s="169">
        <f>arrears!B185</f>
        <v>0</v>
      </c>
      <c r="C185" s="169">
        <f>arrears!C185</f>
        <v>0</v>
      </c>
      <c r="D185" s="145">
        <f>IF(F185="s",($O$5),IF(F185="j",0,IF(L177="e",0,IF(L177="b",0,IF(F185="b",SUM(J177+B185-C185),SUM(J177+B185-C185))))))</f>
        <v>0</v>
      </c>
      <c r="E185" s="146">
        <f t="shared" ref="E185:E196" si="20">IF(F185="s",Surcharge,IF(F185="n",0,IF(F185="b",0,IF(F185="j",0,IF(D185=0,0,IF(D185&gt;0,D185*Surcharge_Rate,IF(D185&lt;0,0)))))))</f>
        <v>0</v>
      </c>
      <c r="F185" s="18"/>
      <c r="G185" s="131" t="s">
        <v>7</v>
      </c>
      <c r="H185" s="169">
        <f>arrears!G185</f>
        <v>0</v>
      </c>
      <c r="I185" s="169">
        <f>arrears!H185</f>
        <v>0</v>
      </c>
      <c r="J185" s="145">
        <f>IF(L185="s",($O$5),IF(L185="j",($O$5),IF(F196="e",0,IF(F196="b",0,IF(L185="b",SUM(D196+H185-I185),SUM(D196+H185-I185))))))</f>
        <v>0</v>
      </c>
      <c r="K185" s="146">
        <f t="shared" ref="K185:K196" si="21">IF(L185="s",Surcharge,IF(L185="n",0,IF(L185="b",0,IF(L185="j",0,IF(J185=0,0,IF(J185&gt;0,J185*Surcharge_Rate,IF(J185&lt;0,0)))))))</f>
        <v>0</v>
      </c>
      <c r="L185" s="183"/>
    </row>
    <row r="186" spans="1:12" ht="13.8" thickBot="1" x14ac:dyDescent="0.3">
      <c r="A186" s="131" t="s">
        <v>8</v>
      </c>
      <c r="B186" s="169">
        <f>arrears!B186</f>
        <v>0</v>
      </c>
      <c r="C186" s="169">
        <f>arrears!C186</f>
        <v>0</v>
      </c>
      <c r="D186" s="145">
        <f t="shared" ref="D186:D196" si="22">IF(F186="s",($O$5),IF(F186="j",($O$5),IF(F185="e",0,IF(F185="b",0,IF(F186="b",SUM(D185+B186-C186),SUM(D185+B186-C186))))))</f>
        <v>0</v>
      </c>
      <c r="E186" s="146">
        <f t="shared" si="20"/>
        <v>0</v>
      </c>
      <c r="F186" s="18"/>
      <c r="G186" s="131" t="s">
        <v>8</v>
      </c>
      <c r="H186" s="169">
        <f>arrears!G186</f>
        <v>0</v>
      </c>
      <c r="I186" s="169">
        <f>arrears!H186</f>
        <v>0</v>
      </c>
      <c r="J186" s="145">
        <f t="shared" ref="J186:J196" si="23">IF(L186="s",($O$5),IF(L186="j",($O$5),IF(L185="e",0,IF(L185="b",0,IF(L186="b",SUM(J185+H186-I186),SUM(J185+H186-I186))))))</f>
        <v>0</v>
      </c>
      <c r="K186" s="146">
        <f t="shared" si="21"/>
        <v>0</v>
      </c>
      <c r="L186" s="183"/>
    </row>
    <row r="187" spans="1:12" ht="13.8" thickBot="1" x14ac:dyDescent="0.3">
      <c r="A187" s="131" t="s">
        <v>9</v>
      </c>
      <c r="B187" s="169">
        <f>arrears!B187</f>
        <v>0</v>
      </c>
      <c r="C187" s="169">
        <f>arrears!C187</f>
        <v>0</v>
      </c>
      <c r="D187" s="145">
        <f t="shared" si="22"/>
        <v>0</v>
      </c>
      <c r="E187" s="146">
        <f t="shared" si="20"/>
        <v>0</v>
      </c>
      <c r="F187" s="18"/>
      <c r="G187" s="131" t="s">
        <v>9</v>
      </c>
      <c r="H187" s="169">
        <f>arrears!G187</f>
        <v>0</v>
      </c>
      <c r="I187" s="169">
        <f>arrears!H187</f>
        <v>0</v>
      </c>
      <c r="J187" s="145">
        <f t="shared" si="23"/>
        <v>0</v>
      </c>
      <c r="K187" s="146">
        <f t="shared" si="21"/>
        <v>0</v>
      </c>
      <c r="L187" s="183"/>
    </row>
    <row r="188" spans="1:12" ht="13.8" thickBot="1" x14ac:dyDescent="0.3">
      <c r="A188" s="131" t="s">
        <v>10</v>
      </c>
      <c r="B188" s="169">
        <f>arrears!B188</f>
        <v>0</v>
      </c>
      <c r="C188" s="169">
        <f>arrears!C188</f>
        <v>0</v>
      </c>
      <c r="D188" s="145">
        <f t="shared" si="22"/>
        <v>0</v>
      </c>
      <c r="E188" s="146">
        <f t="shared" si="20"/>
        <v>0</v>
      </c>
      <c r="F188" s="18"/>
      <c r="G188" s="131" t="s">
        <v>10</v>
      </c>
      <c r="H188" s="169">
        <f>arrears!G188</f>
        <v>0</v>
      </c>
      <c r="I188" s="169">
        <f>arrears!H188</f>
        <v>0</v>
      </c>
      <c r="J188" s="145">
        <f t="shared" si="23"/>
        <v>0</v>
      </c>
      <c r="K188" s="146">
        <f t="shared" si="21"/>
        <v>0</v>
      </c>
      <c r="L188" s="183"/>
    </row>
    <row r="189" spans="1:12" ht="13.8" thickBot="1" x14ac:dyDescent="0.3">
      <c r="A189" s="131" t="s">
        <v>11</v>
      </c>
      <c r="B189" s="169">
        <f>arrears!B189</f>
        <v>0</v>
      </c>
      <c r="C189" s="169">
        <f>arrears!C189</f>
        <v>0</v>
      </c>
      <c r="D189" s="145">
        <f t="shared" si="22"/>
        <v>0</v>
      </c>
      <c r="E189" s="146">
        <f t="shared" si="20"/>
        <v>0</v>
      </c>
      <c r="F189" s="18"/>
      <c r="G189" s="131" t="s">
        <v>11</v>
      </c>
      <c r="H189" s="169">
        <f>arrears!G189</f>
        <v>0</v>
      </c>
      <c r="I189" s="169">
        <f>arrears!H189</f>
        <v>0</v>
      </c>
      <c r="J189" s="145">
        <f t="shared" si="23"/>
        <v>0</v>
      </c>
      <c r="K189" s="146">
        <f t="shared" si="21"/>
        <v>0</v>
      </c>
      <c r="L189" s="183"/>
    </row>
    <row r="190" spans="1:12" ht="13.8" thickBot="1" x14ac:dyDescent="0.3">
      <c r="A190" s="131" t="s">
        <v>12</v>
      </c>
      <c r="B190" s="169">
        <f>arrears!B190</f>
        <v>0</v>
      </c>
      <c r="C190" s="169">
        <f>arrears!C190</f>
        <v>0</v>
      </c>
      <c r="D190" s="145">
        <f t="shared" si="22"/>
        <v>0</v>
      </c>
      <c r="E190" s="146">
        <f t="shared" si="20"/>
        <v>0</v>
      </c>
      <c r="F190" s="18"/>
      <c r="G190" s="131" t="s">
        <v>12</v>
      </c>
      <c r="H190" s="169">
        <f>arrears!G190</f>
        <v>0</v>
      </c>
      <c r="I190" s="169">
        <f>arrears!H190</f>
        <v>0</v>
      </c>
      <c r="J190" s="145">
        <f t="shared" si="23"/>
        <v>0</v>
      </c>
      <c r="K190" s="146">
        <f t="shared" si="21"/>
        <v>0</v>
      </c>
      <c r="L190" s="183"/>
    </row>
    <row r="191" spans="1:12" ht="13.8" thickBot="1" x14ac:dyDescent="0.3">
      <c r="A191" s="131" t="s">
        <v>13</v>
      </c>
      <c r="B191" s="169">
        <f>arrears!B191</f>
        <v>0</v>
      </c>
      <c r="C191" s="169">
        <f>arrears!C191</f>
        <v>0</v>
      </c>
      <c r="D191" s="145">
        <f t="shared" si="22"/>
        <v>0</v>
      </c>
      <c r="E191" s="146">
        <f t="shared" si="20"/>
        <v>0</v>
      </c>
      <c r="F191" s="18"/>
      <c r="G191" s="131" t="s">
        <v>13</v>
      </c>
      <c r="H191" s="169">
        <f>arrears!G191</f>
        <v>0</v>
      </c>
      <c r="I191" s="169">
        <f>arrears!H191</f>
        <v>0</v>
      </c>
      <c r="J191" s="145">
        <f t="shared" si="23"/>
        <v>0</v>
      </c>
      <c r="K191" s="146">
        <f t="shared" si="21"/>
        <v>0</v>
      </c>
      <c r="L191" s="183"/>
    </row>
    <row r="192" spans="1:12" ht="13.8" thickBot="1" x14ac:dyDescent="0.3">
      <c r="A192" s="131" t="s">
        <v>14</v>
      </c>
      <c r="B192" s="169">
        <f>arrears!B192</f>
        <v>0</v>
      </c>
      <c r="C192" s="169">
        <f>arrears!C192</f>
        <v>0</v>
      </c>
      <c r="D192" s="145">
        <f t="shared" si="22"/>
        <v>0</v>
      </c>
      <c r="E192" s="146">
        <f t="shared" si="20"/>
        <v>0</v>
      </c>
      <c r="F192" s="18"/>
      <c r="G192" s="131" t="s">
        <v>14</v>
      </c>
      <c r="H192" s="169">
        <f>arrears!G192</f>
        <v>0</v>
      </c>
      <c r="I192" s="169">
        <f>arrears!H192</f>
        <v>0</v>
      </c>
      <c r="J192" s="145">
        <f t="shared" si="23"/>
        <v>0</v>
      </c>
      <c r="K192" s="146">
        <f t="shared" si="21"/>
        <v>0</v>
      </c>
      <c r="L192" s="183"/>
    </row>
    <row r="193" spans="1:12" ht="13.8" thickBot="1" x14ac:dyDescent="0.3">
      <c r="A193" s="131" t="s">
        <v>15</v>
      </c>
      <c r="B193" s="169">
        <f>arrears!B193</f>
        <v>0</v>
      </c>
      <c r="C193" s="169">
        <f>arrears!C193</f>
        <v>0</v>
      </c>
      <c r="D193" s="145">
        <f t="shared" si="22"/>
        <v>0</v>
      </c>
      <c r="E193" s="146">
        <f t="shared" si="20"/>
        <v>0</v>
      </c>
      <c r="F193" s="18"/>
      <c r="G193" s="131" t="s">
        <v>15</v>
      </c>
      <c r="H193" s="169">
        <f>arrears!G193</f>
        <v>0</v>
      </c>
      <c r="I193" s="169">
        <f>arrears!H193</f>
        <v>0</v>
      </c>
      <c r="J193" s="145">
        <f t="shared" si="23"/>
        <v>0</v>
      </c>
      <c r="K193" s="146">
        <f t="shared" si="21"/>
        <v>0</v>
      </c>
      <c r="L193" s="183"/>
    </row>
    <row r="194" spans="1:12" ht="13.8" thickBot="1" x14ac:dyDescent="0.3">
      <c r="A194" s="131" t="s">
        <v>16</v>
      </c>
      <c r="B194" s="169">
        <f>arrears!B194</f>
        <v>0</v>
      </c>
      <c r="C194" s="169">
        <f>arrears!C194</f>
        <v>0</v>
      </c>
      <c r="D194" s="145">
        <f t="shared" si="22"/>
        <v>0</v>
      </c>
      <c r="E194" s="146">
        <f t="shared" si="20"/>
        <v>0</v>
      </c>
      <c r="F194" s="18"/>
      <c r="G194" s="131" t="s">
        <v>16</v>
      </c>
      <c r="H194" s="169">
        <f>arrears!G194</f>
        <v>0</v>
      </c>
      <c r="I194" s="169">
        <f>arrears!H194</f>
        <v>0</v>
      </c>
      <c r="J194" s="145">
        <f t="shared" si="23"/>
        <v>0</v>
      </c>
      <c r="K194" s="146">
        <f t="shared" si="21"/>
        <v>0</v>
      </c>
      <c r="L194" s="183"/>
    </row>
    <row r="195" spans="1:12" ht="13.8" thickBot="1" x14ac:dyDescent="0.3">
      <c r="A195" s="131" t="s">
        <v>17</v>
      </c>
      <c r="B195" s="169">
        <f>arrears!B195</f>
        <v>0</v>
      </c>
      <c r="C195" s="169">
        <f>arrears!C195</f>
        <v>0</v>
      </c>
      <c r="D195" s="145">
        <f t="shared" si="22"/>
        <v>0</v>
      </c>
      <c r="E195" s="146">
        <f t="shared" si="20"/>
        <v>0</v>
      </c>
      <c r="F195" s="18"/>
      <c r="G195" s="131" t="s">
        <v>17</v>
      </c>
      <c r="H195" s="169">
        <f>arrears!G195</f>
        <v>0</v>
      </c>
      <c r="I195" s="169">
        <f>arrears!H195</f>
        <v>0</v>
      </c>
      <c r="J195" s="145">
        <f t="shared" si="23"/>
        <v>0</v>
      </c>
      <c r="K195" s="146">
        <f t="shared" si="21"/>
        <v>0</v>
      </c>
      <c r="L195" s="183"/>
    </row>
    <row r="196" spans="1:12" ht="13.8" thickBot="1" x14ac:dyDescent="0.3">
      <c r="A196" s="131" t="s">
        <v>18</v>
      </c>
      <c r="B196" s="169">
        <f>arrears!B196</f>
        <v>0</v>
      </c>
      <c r="C196" s="169">
        <f>arrears!C196</f>
        <v>0</v>
      </c>
      <c r="D196" s="145">
        <f t="shared" si="22"/>
        <v>0</v>
      </c>
      <c r="E196" s="146">
        <f t="shared" si="20"/>
        <v>0</v>
      </c>
      <c r="F196" s="18"/>
      <c r="G196" s="131" t="s">
        <v>18</v>
      </c>
      <c r="H196" s="169">
        <f>arrears!G196</f>
        <v>0</v>
      </c>
      <c r="I196" s="169">
        <f>arrears!H196</f>
        <v>0</v>
      </c>
      <c r="J196" s="145">
        <f t="shared" si="23"/>
        <v>0</v>
      </c>
      <c r="K196" s="146">
        <f t="shared" si="21"/>
        <v>0</v>
      </c>
      <c r="L196" s="183"/>
    </row>
    <row r="197" spans="1:12" ht="13.8" thickBot="1" x14ac:dyDescent="0.3">
      <c r="A197" s="133" t="s">
        <v>19</v>
      </c>
      <c r="B197" s="169">
        <f>SUM(B185:B196)</f>
        <v>0</v>
      </c>
      <c r="C197" s="169">
        <f>SUM(C185:C196)</f>
        <v>0</v>
      </c>
      <c r="D197" s="169" t="s">
        <v>26</v>
      </c>
      <c r="E197" s="170">
        <f>SUM(E185:E196)</f>
        <v>0</v>
      </c>
      <c r="F197" s="180"/>
      <c r="G197" s="133" t="s">
        <v>19</v>
      </c>
      <c r="H197" s="169">
        <f>SUM(H185:H196)</f>
        <v>0</v>
      </c>
      <c r="I197" s="169">
        <f>SUM(I185:I196)</f>
        <v>0</v>
      </c>
      <c r="J197" s="169" t="s">
        <v>26</v>
      </c>
      <c r="K197" s="170">
        <f>SUM(K185:K196)</f>
        <v>0</v>
      </c>
      <c r="L197" s="183"/>
    </row>
    <row r="198" spans="1:12" x14ac:dyDescent="0.25">
      <c r="A198" s="207">
        <f>arrears!A198</f>
        <v>0</v>
      </c>
      <c r="F198" s="18"/>
      <c r="G198" s="207">
        <f>arrears!F198</f>
        <v>0</v>
      </c>
      <c r="L198" s="183"/>
    </row>
    <row r="199" spans="1:12" x14ac:dyDescent="0.25">
      <c r="A199" s="207">
        <f>arrears!A199</f>
        <v>0</v>
      </c>
      <c r="F199" s="18"/>
      <c r="G199" s="207">
        <f>arrears!F199</f>
        <v>0</v>
      </c>
      <c r="L199" s="183"/>
    </row>
    <row r="200" spans="1:12" x14ac:dyDescent="0.25">
      <c r="A200" s="207">
        <f>arrears!A200</f>
        <v>0</v>
      </c>
      <c r="F200" s="18"/>
      <c r="G200" s="207">
        <f>arrears!F200</f>
        <v>0</v>
      </c>
      <c r="L200" s="183"/>
    </row>
    <row r="201" spans="1:12" x14ac:dyDescent="0.25">
      <c r="A201" s="207">
        <f>arrears!A201</f>
        <v>0</v>
      </c>
      <c r="F201" s="18"/>
      <c r="G201" s="207">
        <f>arrears!F201</f>
        <v>0</v>
      </c>
      <c r="L201" s="183"/>
    </row>
    <row r="202" spans="1:12" x14ac:dyDescent="0.25">
      <c r="A202" s="98"/>
      <c r="B202" s="98"/>
      <c r="C202" s="98"/>
      <c r="D202" s="98"/>
      <c r="E202" s="98"/>
      <c r="F202" s="18"/>
      <c r="G202" s="98"/>
      <c r="H202" s="100" t="s">
        <v>71</v>
      </c>
      <c r="I202" s="178">
        <f>SUM(B178,H178,H197,B197)-SUM(C178,I178,I197,C197)</f>
        <v>0</v>
      </c>
      <c r="J202" s="98"/>
      <c r="K202" s="98"/>
      <c r="L202" s="183"/>
    </row>
    <row r="203" spans="1:12" x14ac:dyDescent="0.25">
      <c r="A203" s="98"/>
      <c r="B203" s="98"/>
      <c r="C203" s="98"/>
      <c r="D203" s="98"/>
      <c r="E203" s="98"/>
      <c r="F203" s="18"/>
      <c r="G203" s="98"/>
      <c r="H203" s="98"/>
      <c r="I203" s="98"/>
      <c r="J203" s="98"/>
      <c r="K203" s="98"/>
      <c r="L203" s="183"/>
    </row>
    <row r="204" spans="1:12" x14ac:dyDescent="0.25">
      <c r="A204" s="98"/>
      <c r="B204" s="98"/>
      <c r="C204" s="98"/>
      <c r="D204" s="98"/>
      <c r="E204" s="98"/>
      <c r="F204" s="18"/>
      <c r="G204" s="98"/>
      <c r="H204" s="98"/>
      <c r="I204" s="98"/>
      <c r="J204" s="98"/>
      <c r="K204" s="98"/>
      <c r="L204" s="183"/>
    </row>
    <row r="205" spans="1:12" x14ac:dyDescent="0.25">
      <c r="A205" s="98"/>
      <c r="B205" s="98"/>
      <c r="C205" s="98"/>
      <c r="D205" s="98"/>
      <c r="E205" s="98"/>
      <c r="F205" s="18"/>
      <c r="G205" s="98"/>
      <c r="H205" s="98"/>
      <c r="I205" s="98"/>
      <c r="J205" s="98"/>
      <c r="K205" s="98"/>
      <c r="L205" s="183"/>
    </row>
    <row r="206" spans="1:12" x14ac:dyDescent="0.25">
      <c r="A206" s="98"/>
      <c r="B206" s="98"/>
      <c r="C206" s="98"/>
      <c r="D206" s="98"/>
      <c r="E206" s="98"/>
      <c r="F206" s="18"/>
      <c r="G206" s="98"/>
      <c r="H206" s="98"/>
      <c r="I206" s="98"/>
      <c r="J206" s="98"/>
      <c r="K206" s="98"/>
      <c r="L206" s="183"/>
    </row>
    <row r="207" spans="1:12" x14ac:dyDescent="0.25">
      <c r="A207" s="98"/>
      <c r="B207" s="100" t="s">
        <v>0</v>
      </c>
      <c r="C207" s="185" t="str">
        <f>C3</f>
        <v xml:space="preserve"> </v>
      </c>
      <c r="D207" s="98"/>
      <c r="E207" s="98"/>
      <c r="F207" s="18"/>
      <c r="G207" s="98"/>
      <c r="H207" s="100" t="s">
        <v>53</v>
      </c>
      <c r="I207" s="185" t="str">
        <f>arrears!$G$3</f>
        <v xml:space="preserve"> </v>
      </c>
      <c r="J207" s="98"/>
      <c r="K207" s="98"/>
      <c r="L207" s="183"/>
    </row>
    <row r="208" spans="1:12" x14ac:dyDescent="0.25">
      <c r="A208" s="98"/>
      <c r="B208" s="100" t="s">
        <v>1</v>
      </c>
      <c r="C208" s="185" t="str">
        <f>C4</f>
        <v xml:space="preserve"> </v>
      </c>
      <c r="D208" s="98"/>
      <c r="E208" s="98"/>
      <c r="F208" s="18"/>
      <c r="G208" s="98"/>
      <c r="H208" s="100" t="s">
        <v>26</v>
      </c>
      <c r="I208" s="98" t="s">
        <v>26</v>
      </c>
      <c r="J208" s="98"/>
      <c r="K208" s="98"/>
      <c r="L208" s="183"/>
    </row>
    <row r="209" spans="1:12" x14ac:dyDescent="0.25">
      <c r="A209" s="98"/>
      <c r="B209" s="98"/>
      <c r="C209" s="98"/>
      <c r="D209" s="98"/>
      <c r="E209" s="98"/>
      <c r="F209" s="18"/>
      <c r="G209" s="98"/>
      <c r="H209" s="98"/>
      <c r="I209" s="98"/>
      <c r="J209" s="98"/>
      <c r="K209" s="98"/>
      <c r="L209" s="183"/>
    </row>
    <row r="210" spans="1:12" x14ac:dyDescent="0.25">
      <c r="A210" s="98"/>
      <c r="B210" s="100" t="s">
        <v>26</v>
      </c>
      <c r="C210" s="122" t="s">
        <v>26</v>
      </c>
      <c r="D210" s="98"/>
      <c r="E210" s="98"/>
      <c r="F210" s="18"/>
      <c r="G210" s="98"/>
      <c r="H210" s="98"/>
      <c r="I210" s="98"/>
      <c r="J210" s="98"/>
      <c r="K210" s="98"/>
      <c r="L210" s="183"/>
    </row>
    <row r="211" spans="1:12" x14ac:dyDescent="0.25">
      <c r="A211" s="98"/>
      <c r="B211" s="98" t="s">
        <v>26</v>
      </c>
      <c r="C211" s="134" t="s">
        <v>26</v>
      </c>
      <c r="D211" s="98"/>
      <c r="E211" s="98"/>
      <c r="F211" s="18"/>
      <c r="G211" s="98"/>
      <c r="H211" s="98"/>
      <c r="I211" s="98"/>
      <c r="J211" s="98"/>
      <c r="K211" s="98"/>
      <c r="L211" s="183"/>
    </row>
    <row r="212" spans="1:12" ht="13.8" thickBot="1" x14ac:dyDescent="0.3">
      <c r="A212" s="98"/>
      <c r="B212" s="98"/>
      <c r="C212" s="98"/>
      <c r="D212" s="98"/>
      <c r="E212" s="98"/>
      <c r="F212" s="18"/>
      <c r="G212" s="98"/>
      <c r="H212" s="98"/>
      <c r="I212" s="98"/>
      <c r="J212" s="98"/>
      <c r="K212" s="98"/>
      <c r="L212" s="183"/>
    </row>
    <row r="213" spans="1:12" ht="13.8" thickBot="1" x14ac:dyDescent="0.3">
      <c r="A213" s="131" t="s">
        <v>2</v>
      </c>
      <c r="B213" s="131" t="str">
        <f>arrears!B213</f>
        <v xml:space="preserve"> </v>
      </c>
      <c r="C213" s="131"/>
      <c r="D213" s="131"/>
      <c r="E213" s="131"/>
      <c r="F213" s="18"/>
      <c r="G213" s="131" t="s">
        <v>2</v>
      </c>
      <c r="H213" s="131" t="str">
        <f>arrears!G213</f>
        <v xml:space="preserve"> </v>
      </c>
      <c r="I213" s="131"/>
      <c r="J213" s="131"/>
      <c r="K213" s="132"/>
      <c r="L213" s="183"/>
    </row>
    <row r="214" spans="1:12" ht="13.8" thickBot="1" x14ac:dyDescent="0.3">
      <c r="A214" s="131" t="s">
        <v>3</v>
      </c>
      <c r="B214" s="131" t="s">
        <v>4</v>
      </c>
      <c r="C214" s="131" t="s">
        <v>5</v>
      </c>
      <c r="D214" s="131" t="s">
        <v>6</v>
      </c>
      <c r="E214" s="131" t="s">
        <v>27</v>
      </c>
      <c r="F214" s="18"/>
      <c r="G214" s="131" t="s">
        <v>3</v>
      </c>
      <c r="H214" s="131" t="s">
        <v>4</v>
      </c>
      <c r="I214" s="131" t="s">
        <v>5</v>
      </c>
      <c r="J214" s="131" t="s">
        <v>6</v>
      </c>
      <c r="K214" s="131" t="s">
        <v>27</v>
      </c>
      <c r="L214" s="183"/>
    </row>
    <row r="215" spans="1:12" ht="13.8" thickBot="1" x14ac:dyDescent="0.3">
      <c r="A215" s="131" t="s">
        <v>7</v>
      </c>
      <c r="B215" s="169">
        <f>arrears!B215</f>
        <v>0</v>
      </c>
      <c r="C215" s="169">
        <f>arrears!C215</f>
        <v>0</v>
      </c>
      <c r="D215" s="145">
        <f>IF(F215="s",($O$5),IF(F215="j",($O$5),IF(L196="e",0,IF(L196="b",0,IF(F215="b",SUM(J196+B215-C215),SUM(J196+B215-C215))))))</f>
        <v>0</v>
      </c>
      <c r="E215" s="146">
        <f t="shared" ref="E215:E226" si="24">IF(F215="s",Surcharge,IF(F215="n",0,IF(F215="b",0,IF(F215="j",0,IF(D215=0,0,IF(D215&gt;0,D215*Surcharge_Rate,IF(D215&lt;0,0)))))))</f>
        <v>0</v>
      </c>
      <c r="F215" s="18"/>
      <c r="G215" s="131" t="s">
        <v>7</v>
      </c>
      <c r="H215" s="169">
        <f>arrears!G215</f>
        <v>0</v>
      </c>
      <c r="I215" s="169">
        <f>arrears!H215</f>
        <v>0</v>
      </c>
      <c r="J215" s="145">
        <f>IF(L215="s",($O$5),IF(L215="j",($O$5),IF(F226="e",0,IF(F226="b",0,IF(L215="b",SUM(D226+H215-I215),SUM(D226+H215-I215))))))</f>
        <v>0</v>
      </c>
      <c r="K215" s="146">
        <f t="shared" ref="K215:K226" si="25">IF(L215="s",Surcharge,IF(L215="n",0,IF(L215="b",0,IF(L215="j",0,IF(J215=0,0,IF(J215&gt;0,J215*Surcharge_Rate,IF(J215&lt;0,0)))))))</f>
        <v>0</v>
      </c>
      <c r="L215" s="183"/>
    </row>
    <row r="216" spans="1:12" ht="13.8" thickBot="1" x14ac:dyDescent="0.3">
      <c r="A216" s="131" t="s">
        <v>8</v>
      </c>
      <c r="B216" s="169">
        <f>arrears!B216</f>
        <v>0</v>
      </c>
      <c r="C216" s="169">
        <f>arrears!C216</f>
        <v>0</v>
      </c>
      <c r="D216" s="145">
        <f t="shared" ref="D216:D226" si="26">IF(F216="s",($O$5),IF(F216="j",($O$5),IF(F215="e",0,IF(F215="b",0,IF(F216="b",SUM(D215+B216-C216),SUM(D215+B216-C216))))))</f>
        <v>0</v>
      </c>
      <c r="E216" s="146">
        <f t="shared" si="24"/>
        <v>0</v>
      </c>
      <c r="F216" s="18"/>
      <c r="G216" s="131" t="s">
        <v>8</v>
      </c>
      <c r="H216" s="169">
        <f>arrears!G216</f>
        <v>0</v>
      </c>
      <c r="I216" s="169">
        <f>arrears!H216</f>
        <v>0</v>
      </c>
      <c r="J216" s="145">
        <f t="shared" ref="J216:J226" si="27">IF(L216="s",($O$5),IF(L216="j",($O$5),IF(L215="e",0,IF(L215="b",0,IF(L216="b",SUM(J215+H216-I216),SUM(J215+H216-I216))))))</f>
        <v>0</v>
      </c>
      <c r="K216" s="146">
        <f t="shared" si="25"/>
        <v>0</v>
      </c>
      <c r="L216" s="183"/>
    </row>
    <row r="217" spans="1:12" ht="13.8" thickBot="1" x14ac:dyDescent="0.3">
      <c r="A217" s="131" t="s">
        <v>9</v>
      </c>
      <c r="B217" s="169">
        <f>arrears!B217</f>
        <v>0</v>
      </c>
      <c r="C217" s="169">
        <f>arrears!C217</f>
        <v>0</v>
      </c>
      <c r="D217" s="145">
        <f t="shared" si="26"/>
        <v>0</v>
      </c>
      <c r="E217" s="146">
        <f t="shared" si="24"/>
        <v>0</v>
      </c>
      <c r="F217" s="18"/>
      <c r="G217" s="131" t="s">
        <v>9</v>
      </c>
      <c r="H217" s="169">
        <f>arrears!G217</f>
        <v>0</v>
      </c>
      <c r="I217" s="169">
        <f>arrears!H217</f>
        <v>0</v>
      </c>
      <c r="J217" s="145">
        <f t="shared" si="27"/>
        <v>0</v>
      </c>
      <c r="K217" s="146">
        <f t="shared" si="25"/>
        <v>0</v>
      </c>
      <c r="L217" s="183"/>
    </row>
    <row r="218" spans="1:12" ht="13.8" thickBot="1" x14ac:dyDescent="0.3">
      <c r="A218" s="131" t="s">
        <v>10</v>
      </c>
      <c r="B218" s="169">
        <f>arrears!B218</f>
        <v>0</v>
      </c>
      <c r="C218" s="169">
        <f>arrears!C218</f>
        <v>0</v>
      </c>
      <c r="D218" s="145">
        <f t="shared" si="26"/>
        <v>0</v>
      </c>
      <c r="E218" s="146">
        <f t="shared" si="24"/>
        <v>0</v>
      </c>
      <c r="F218" s="18"/>
      <c r="G218" s="131" t="s">
        <v>10</v>
      </c>
      <c r="H218" s="169">
        <f>arrears!G218</f>
        <v>0</v>
      </c>
      <c r="I218" s="169">
        <f>arrears!H218</f>
        <v>0</v>
      </c>
      <c r="J218" s="145">
        <f t="shared" si="27"/>
        <v>0</v>
      </c>
      <c r="K218" s="146">
        <f t="shared" si="25"/>
        <v>0</v>
      </c>
      <c r="L218" s="183"/>
    </row>
    <row r="219" spans="1:12" ht="13.8" thickBot="1" x14ac:dyDescent="0.3">
      <c r="A219" s="131" t="s">
        <v>11</v>
      </c>
      <c r="B219" s="169">
        <f>arrears!B219</f>
        <v>0</v>
      </c>
      <c r="C219" s="169">
        <f>arrears!C219</f>
        <v>0</v>
      </c>
      <c r="D219" s="145">
        <f t="shared" si="26"/>
        <v>0</v>
      </c>
      <c r="E219" s="146">
        <f t="shared" si="24"/>
        <v>0</v>
      </c>
      <c r="F219" s="18"/>
      <c r="G219" s="131" t="s">
        <v>11</v>
      </c>
      <c r="H219" s="169">
        <f>arrears!G219</f>
        <v>0</v>
      </c>
      <c r="I219" s="169">
        <f>arrears!H219</f>
        <v>0</v>
      </c>
      <c r="J219" s="145">
        <f t="shared" si="27"/>
        <v>0</v>
      </c>
      <c r="K219" s="146">
        <f t="shared" si="25"/>
        <v>0</v>
      </c>
      <c r="L219" s="183"/>
    </row>
    <row r="220" spans="1:12" ht="13.8" thickBot="1" x14ac:dyDescent="0.3">
      <c r="A220" s="131" t="s">
        <v>12</v>
      </c>
      <c r="B220" s="169">
        <f>arrears!B220</f>
        <v>0</v>
      </c>
      <c r="C220" s="169">
        <f>arrears!C220</f>
        <v>0</v>
      </c>
      <c r="D220" s="145">
        <f t="shared" si="26"/>
        <v>0</v>
      </c>
      <c r="E220" s="146">
        <f t="shared" si="24"/>
        <v>0</v>
      </c>
      <c r="F220" s="18"/>
      <c r="G220" s="131" t="s">
        <v>12</v>
      </c>
      <c r="H220" s="169">
        <f>arrears!G220</f>
        <v>0</v>
      </c>
      <c r="I220" s="169">
        <f>arrears!H220</f>
        <v>0</v>
      </c>
      <c r="J220" s="145">
        <f t="shared" si="27"/>
        <v>0</v>
      </c>
      <c r="K220" s="146">
        <f t="shared" si="25"/>
        <v>0</v>
      </c>
      <c r="L220" s="183"/>
    </row>
    <row r="221" spans="1:12" ht="13.8" thickBot="1" x14ac:dyDescent="0.3">
      <c r="A221" s="131" t="s">
        <v>13</v>
      </c>
      <c r="B221" s="169">
        <f>arrears!B221</f>
        <v>0</v>
      </c>
      <c r="C221" s="169">
        <f>arrears!C221</f>
        <v>0</v>
      </c>
      <c r="D221" s="145">
        <f t="shared" si="26"/>
        <v>0</v>
      </c>
      <c r="E221" s="146">
        <f t="shared" si="24"/>
        <v>0</v>
      </c>
      <c r="F221" s="18"/>
      <c r="G221" s="131" t="s">
        <v>13</v>
      </c>
      <c r="H221" s="169">
        <f>arrears!G221</f>
        <v>0</v>
      </c>
      <c r="I221" s="169">
        <f>arrears!H221</f>
        <v>0</v>
      </c>
      <c r="J221" s="145">
        <f t="shared" si="27"/>
        <v>0</v>
      </c>
      <c r="K221" s="146">
        <f t="shared" si="25"/>
        <v>0</v>
      </c>
      <c r="L221" s="183"/>
    </row>
    <row r="222" spans="1:12" ht="13.8" thickBot="1" x14ac:dyDescent="0.3">
      <c r="A222" s="131" t="s">
        <v>14</v>
      </c>
      <c r="B222" s="169">
        <f>arrears!B222</f>
        <v>0</v>
      </c>
      <c r="C222" s="169">
        <f>arrears!C222</f>
        <v>0</v>
      </c>
      <c r="D222" s="145">
        <f t="shared" si="26"/>
        <v>0</v>
      </c>
      <c r="E222" s="146">
        <f t="shared" si="24"/>
        <v>0</v>
      </c>
      <c r="F222" s="18"/>
      <c r="G222" s="131" t="s">
        <v>14</v>
      </c>
      <c r="H222" s="169">
        <f>arrears!G222</f>
        <v>0</v>
      </c>
      <c r="I222" s="169">
        <f>arrears!H222</f>
        <v>0</v>
      </c>
      <c r="J222" s="145">
        <f t="shared" si="27"/>
        <v>0</v>
      </c>
      <c r="K222" s="146">
        <f t="shared" si="25"/>
        <v>0</v>
      </c>
      <c r="L222" s="183"/>
    </row>
    <row r="223" spans="1:12" ht="13.8" thickBot="1" x14ac:dyDescent="0.3">
      <c r="A223" s="131" t="s">
        <v>15</v>
      </c>
      <c r="B223" s="169">
        <f>arrears!B223</f>
        <v>0</v>
      </c>
      <c r="C223" s="169">
        <f>arrears!C223</f>
        <v>0</v>
      </c>
      <c r="D223" s="145">
        <f t="shared" si="26"/>
        <v>0</v>
      </c>
      <c r="E223" s="146">
        <f t="shared" si="24"/>
        <v>0</v>
      </c>
      <c r="F223" s="18"/>
      <c r="G223" s="131" t="s">
        <v>15</v>
      </c>
      <c r="H223" s="169">
        <f>arrears!G223</f>
        <v>0</v>
      </c>
      <c r="I223" s="169">
        <f>arrears!H223</f>
        <v>0</v>
      </c>
      <c r="J223" s="145">
        <f t="shared" si="27"/>
        <v>0</v>
      </c>
      <c r="K223" s="146">
        <f t="shared" si="25"/>
        <v>0</v>
      </c>
      <c r="L223" s="183"/>
    </row>
    <row r="224" spans="1:12" ht="13.8" thickBot="1" x14ac:dyDescent="0.3">
      <c r="A224" s="131" t="s">
        <v>16</v>
      </c>
      <c r="B224" s="169">
        <f>arrears!B224</f>
        <v>0</v>
      </c>
      <c r="C224" s="169">
        <f>arrears!C224</f>
        <v>0</v>
      </c>
      <c r="D224" s="145">
        <f t="shared" si="26"/>
        <v>0</v>
      </c>
      <c r="E224" s="146">
        <f t="shared" si="24"/>
        <v>0</v>
      </c>
      <c r="F224" s="18"/>
      <c r="G224" s="131" t="s">
        <v>16</v>
      </c>
      <c r="H224" s="169">
        <f>arrears!G224</f>
        <v>0</v>
      </c>
      <c r="I224" s="169">
        <f>arrears!H224</f>
        <v>0</v>
      </c>
      <c r="J224" s="145">
        <f t="shared" si="27"/>
        <v>0</v>
      </c>
      <c r="K224" s="146">
        <f t="shared" si="25"/>
        <v>0</v>
      </c>
      <c r="L224" s="183"/>
    </row>
    <row r="225" spans="1:12" ht="13.8" thickBot="1" x14ac:dyDescent="0.3">
      <c r="A225" s="131" t="s">
        <v>17</v>
      </c>
      <c r="B225" s="169">
        <f>arrears!B225</f>
        <v>0</v>
      </c>
      <c r="C225" s="169">
        <f>arrears!C225</f>
        <v>0</v>
      </c>
      <c r="D225" s="145">
        <f t="shared" si="26"/>
        <v>0</v>
      </c>
      <c r="E225" s="146">
        <f t="shared" si="24"/>
        <v>0</v>
      </c>
      <c r="F225" s="18"/>
      <c r="G225" s="131" t="s">
        <v>17</v>
      </c>
      <c r="H225" s="169">
        <f>arrears!G225</f>
        <v>0</v>
      </c>
      <c r="I225" s="169">
        <f>arrears!H225</f>
        <v>0</v>
      </c>
      <c r="J225" s="145">
        <f t="shared" si="27"/>
        <v>0</v>
      </c>
      <c r="K225" s="146">
        <f t="shared" si="25"/>
        <v>0</v>
      </c>
      <c r="L225" s="183"/>
    </row>
    <row r="226" spans="1:12" ht="13.8" thickBot="1" x14ac:dyDescent="0.3">
      <c r="A226" s="131" t="s">
        <v>18</v>
      </c>
      <c r="B226" s="169">
        <f>arrears!B226</f>
        <v>0</v>
      </c>
      <c r="C226" s="169">
        <f>arrears!C226</f>
        <v>0</v>
      </c>
      <c r="D226" s="145">
        <f t="shared" si="26"/>
        <v>0</v>
      </c>
      <c r="E226" s="146">
        <f t="shared" si="24"/>
        <v>0</v>
      </c>
      <c r="F226" s="18"/>
      <c r="G226" s="131" t="s">
        <v>18</v>
      </c>
      <c r="H226" s="169">
        <f>arrears!G226</f>
        <v>0</v>
      </c>
      <c r="I226" s="169">
        <f>arrears!H226</f>
        <v>0</v>
      </c>
      <c r="J226" s="145">
        <f t="shared" si="27"/>
        <v>0</v>
      </c>
      <c r="K226" s="146">
        <f t="shared" si="25"/>
        <v>0</v>
      </c>
      <c r="L226" s="183"/>
    </row>
    <row r="227" spans="1:12" ht="13.8" thickBot="1" x14ac:dyDescent="0.3">
      <c r="A227" s="133" t="s">
        <v>19</v>
      </c>
      <c r="B227" s="169">
        <f>SUM(B215:B226)</f>
        <v>0</v>
      </c>
      <c r="C227" s="169">
        <f>SUM(C215:C226)</f>
        <v>0</v>
      </c>
      <c r="D227" s="169" t="s">
        <v>26</v>
      </c>
      <c r="E227" s="170">
        <f>SUM(E215:E226)</f>
        <v>0</v>
      </c>
      <c r="F227" s="180"/>
      <c r="G227" s="133" t="s">
        <v>19</v>
      </c>
      <c r="H227" s="169">
        <f>SUM(H215:H226)</f>
        <v>0</v>
      </c>
      <c r="I227" s="169">
        <f>SUM(I215:I226)</f>
        <v>0</v>
      </c>
      <c r="J227" s="169" t="s">
        <v>26</v>
      </c>
      <c r="K227" s="170">
        <f>SUM(K215:K226)</f>
        <v>0</v>
      </c>
      <c r="L227" s="183"/>
    </row>
    <row r="228" spans="1:12" x14ac:dyDescent="0.25">
      <c r="A228" s="207">
        <f>arrears!A228</f>
        <v>0</v>
      </c>
      <c r="F228" s="18"/>
      <c r="G228" s="207">
        <f>arrears!F228</f>
        <v>0</v>
      </c>
      <c r="L228" s="183"/>
    </row>
    <row r="229" spans="1:12" x14ac:dyDescent="0.25">
      <c r="A229" s="207">
        <f>arrears!A229</f>
        <v>0</v>
      </c>
      <c r="F229" s="18"/>
      <c r="G229" s="207">
        <f>arrears!F229</f>
        <v>0</v>
      </c>
      <c r="L229" s="183"/>
    </row>
    <row r="230" spans="1:12" x14ac:dyDescent="0.25">
      <c r="A230" s="207">
        <f>arrears!A230</f>
        <v>0</v>
      </c>
      <c r="F230" s="18"/>
      <c r="G230" s="207">
        <f>arrears!F230</f>
        <v>0</v>
      </c>
      <c r="L230" s="183"/>
    </row>
    <row r="231" spans="1:12" ht="13.8" thickBot="1" x14ac:dyDescent="0.3">
      <c r="A231" s="207">
        <f>arrears!A231</f>
        <v>0</v>
      </c>
      <c r="F231" s="18"/>
      <c r="G231" s="207">
        <f>arrears!F231</f>
        <v>0</v>
      </c>
      <c r="L231" s="183"/>
    </row>
    <row r="232" spans="1:12" ht="13.8" thickBot="1" x14ac:dyDescent="0.3">
      <c r="A232" s="131" t="s">
        <v>2</v>
      </c>
      <c r="B232" s="131" t="str">
        <f>arrears!B232</f>
        <v xml:space="preserve"> </v>
      </c>
      <c r="C232" s="131"/>
      <c r="D232" s="131"/>
      <c r="E232" s="131"/>
      <c r="F232" s="18"/>
      <c r="G232" s="131" t="s">
        <v>2</v>
      </c>
      <c r="H232" s="131" t="str">
        <f>arrears!G232</f>
        <v xml:space="preserve"> </v>
      </c>
      <c r="I232" s="131"/>
      <c r="J232" s="131"/>
      <c r="K232" s="132"/>
      <c r="L232" s="183"/>
    </row>
    <row r="233" spans="1:12" ht="13.8" thickBot="1" x14ac:dyDescent="0.3">
      <c r="A233" s="131" t="s">
        <v>3</v>
      </c>
      <c r="B233" s="131" t="s">
        <v>4</v>
      </c>
      <c r="C233" s="131" t="s">
        <v>5</v>
      </c>
      <c r="D233" s="131" t="s">
        <v>6</v>
      </c>
      <c r="E233" s="131" t="s">
        <v>27</v>
      </c>
      <c r="F233" s="18"/>
      <c r="G233" s="131" t="s">
        <v>3</v>
      </c>
      <c r="H233" s="131" t="s">
        <v>4</v>
      </c>
      <c r="I233" s="131" t="s">
        <v>5</v>
      </c>
      <c r="J233" s="131" t="s">
        <v>6</v>
      </c>
      <c r="K233" s="131" t="s">
        <v>27</v>
      </c>
      <c r="L233" s="183"/>
    </row>
    <row r="234" spans="1:12" ht="13.8" thickBot="1" x14ac:dyDescent="0.3">
      <c r="A234" s="131" t="s">
        <v>7</v>
      </c>
      <c r="B234" s="169">
        <f>arrears!B234</f>
        <v>0</v>
      </c>
      <c r="C234" s="169">
        <f>arrears!C234</f>
        <v>0</v>
      </c>
      <c r="D234" s="145">
        <f>IF(F234="s",($O$5),IF(F234="j",0,IF(L226="e",0,IF(L226="b",0,IF(F234="b",SUM(J226+B234-C234),SUM(J226+B234-C234))))))</f>
        <v>0</v>
      </c>
      <c r="E234" s="146">
        <f t="shared" ref="E234:E245" si="28">IF(F234="s",Surcharge,IF(F234="n",0,IF(F234="b",0,IF(F234="j",0,IF(D234=0,0,IF(D234&gt;0,D234*Surcharge_Rate,IF(D234&lt;0,0)))))))</f>
        <v>0</v>
      </c>
      <c r="F234" s="18"/>
      <c r="G234" s="131" t="s">
        <v>7</v>
      </c>
      <c r="H234" s="169">
        <f>arrears!G234</f>
        <v>0</v>
      </c>
      <c r="I234" s="169">
        <f>arrears!H234</f>
        <v>0</v>
      </c>
      <c r="J234" s="145">
        <f>IF(L234="s",($O$5),IF(L234="j",($O$5),IF(F245="e",0,IF(F245="b",0,IF(L234="b",SUM(D245+H234-I234),SUM(D245+H234-I234))))))</f>
        <v>0</v>
      </c>
      <c r="K234" s="146">
        <f t="shared" ref="K234:K245" si="29">IF(L234="s",Surcharge,IF(L234="n",0,IF(L234="b",0,IF(L234="j",0,IF(J234=0,0,IF(J234&gt;0,J234*Surcharge_Rate,IF(J234&lt;0,0)))))))</f>
        <v>0</v>
      </c>
      <c r="L234" s="183"/>
    </row>
    <row r="235" spans="1:12" ht="13.8" thickBot="1" x14ac:dyDescent="0.3">
      <c r="A235" s="131" t="s">
        <v>8</v>
      </c>
      <c r="B235" s="169">
        <f>arrears!B235</f>
        <v>0</v>
      </c>
      <c r="C235" s="169">
        <f>arrears!C235</f>
        <v>0</v>
      </c>
      <c r="D235" s="145">
        <f t="shared" ref="D235:D245" si="30">IF(F235="s",($O$5),IF(F235="j",($O$5),IF(F234="e",0,IF(F234="b",0,IF(F235="b",SUM(D234+B235-C235),SUM(D234+B235-C235))))))</f>
        <v>0</v>
      </c>
      <c r="E235" s="146">
        <f t="shared" si="28"/>
        <v>0</v>
      </c>
      <c r="F235" s="18"/>
      <c r="G235" s="131" t="s">
        <v>8</v>
      </c>
      <c r="H235" s="169">
        <f>arrears!G235</f>
        <v>0</v>
      </c>
      <c r="I235" s="169">
        <f>arrears!H235</f>
        <v>0</v>
      </c>
      <c r="J235" s="145">
        <f t="shared" ref="J235:J245" si="31">IF(L235="s",($O$5),IF(L235="j",($O$5),IF(L234="e",0,IF(L234="b",0,IF(L235="b",SUM(J234+H235-I235),SUM(J234+H235-I235))))))</f>
        <v>0</v>
      </c>
      <c r="K235" s="146">
        <f t="shared" si="29"/>
        <v>0</v>
      </c>
      <c r="L235" s="183"/>
    </row>
    <row r="236" spans="1:12" ht="13.8" thickBot="1" x14ac:dyDescent="0.3">
      <c r="A236" s="131" t="s">
        <v>9</v>
      </c>
      <c r="B236" s="169">
        <f>arrears!B236</f>
        <v>0</v>
      </c>
      <c r="C236" s="169">
        <f>arrears!C236</f>
        <v>0</v>
      </c>
      <c r="D236" s="145">
        <f t="shared" si="30"/>
        <v>0</v>
      </c>
      <c r="E236" s="146">
        <f t="shared" si="28"/>
        <v>0</v>
      </c>
      <c r="F236" s="18"/>
      <c r="G236" s="131" t="s">
        <v>9</v>
      </c>
      <c r="H236" s="169">
        <f>arrears!G236</f>
        <v>0</v>
      </c>
      <c r="I236" s="169">
        <f>arrears!H236</f>
        <v>0</v>
      </c>
      <c r="J236" s="145">
        <f t="shared" si="31"/>
        <v>0</v>
      </c>
      <c r="K236" s="146">
        <f t="shared" si="29"/>
        <v>0</v>
      </c>
      <c r="L236" s="183"/>
    </row>
    <row r="237" spans="1:12" ht="13.8" thickBot="1" x14ac:dyDescent="0.3">
      <c r="A237" s="131" t="s">
        <v>10</v>
      </c>
      <c r="B237" s="169">
        <f>arrears!B237</f>
        <v>0</v>
      </c>
      <c r="C237" s="169">
        <f>arrears!C237</f>
        <v>0</v>
      </c>
      <c r="D237" s="145">
        <f t="shared" si="30"/>
        <v>0</v>
      </c>
      <c r="E237" s="146">
        <f t="shared" si="28"/>
        <v>0</v>
      </c>
      <c r="F237" s="18"/>
      <c r="G237" s="131" t="s">
        <v>10</v>
      </c>
      <c r="H237" s="169">
        <f>arrears!G237</f>
        <v>0</v>
      </c>
      <c r="I237" s="169">
        <f>arrears!H237</f>
        <v>0</v>
      </c>
      <c r="J237" s="145">
        <f t="shared" si="31"/>
        <v>0</v>
      </c>
      <c r="K237" s="146">
        <f t="shared" si="29"/>
        <v>0</v>
      </c>
      <c r="L237" s="183"/>
    </row>
    <row r="238" spans="1:12" ht="13.8" thickBot="1" x14ac:dyDescent="0.3">
      <c r="A238" s="131" t="s">
        <v>11</v>
      </c>
      <c r="B238" s="169">
        <f>arrears!B238</f>
        <v>0</v>
      </c>
      <c r="C238" s="169">
        <f>arrears!C238</f>
        <v>0</v>
      </c>
      <c r="D238" s="145">
        <f t="shared" si="30"/>
        <v>0</v>
      </c>
      <c r="E238" s="146">
        <f t="shared" si="28"/>
        <v>0</v>
      </c>
      <c r="F238" s="18"/>
      <c r="G238" s="131" t="s">
        <v>11</v>
      </c>
      <c r="H238" s="169">
        <f>arrears!G238</f>
        <v>0</v>
      </c>
      <c r="I238" s="169">
        <f>arrears!H238</f>
        <v>0</v>
      </c>
      <c r="J238" s="145">
        <f t="shared" si="31"/>
        <v>0</v>
      </c>
      <c r="K238" s="146">
        <f t="shared" si="29"/>
        <v>0</v>
      </c>
      <c r="L238" s="183"/>
    </row>
    <row r="239" spans="1:12" ht="13.8" thickBot="1" x14ac:dyDescent="0.3">
      <c r="A239" s="131" t="s">
        <v>12</v>
      </c>
      <c r="B239" s="169">
        <f>arrears!B239</f>
        <v>0</v>
      </c>
      <c r="C239" s="169">
        <f>arrears!C239</f>
        <v>0</v>
      </c>
      <c r="D239" s="145">
        <f t="shared" si="30"/>
        <v>0</v>
      </c>
      <c r="E239" s="146">
        <f t="shared" si="28"/>
        <v>0</v>
      </c>
      <c r="F239" s="18"/>
      <c r="G239" s="131" t="s">
        <v>12</v>
      </c>
      <c r="H239" s="169">
        <f>arrears!G239</f>
        <v>0</v>
      </c>
      <c r="I239" s="169">
        <f>arrears!H239</f>
        <v>0</v>
      </c>
      <c r="J239" s="145">
        <f t="shared" si="31"/>
        <v>0</v>
      </c>
      <c r="K239" s="146">
        <f t="shared" si="29"/>
        <v>0</v>
      </c>
      <c r="L239" s="183"/>
    </row>
    <row r="240" spans="1:12" ht="13.8" thickBot="1" x14ac:dyDescent="0.3">
      <c r="A240" s="131" t="s">
        <v>13</v>
      </c>
      <c r="B240" s="169">
        <f>arrears!B240</f>
        <v>0</v>
      </c>
      <c r="C240" s="169">
        <f>arrears!C240</f>
        <v>0</v>
      </c>
      <c r="D240" s="145">
        <f t="shared" si="30"/>
        <v>0</v>
      </c>
      <c r="E240" s="146">
        <f t="shared" si="28"/>
        <v>0</v>
      </c>
      <c r="F240" s="18"/>
      <c r="G240" s="131" t="s">
        <v>13</v>
      </c>
      <c r="H240" s="169">
        <f>arrears!G240</f>
        <v>0</v>
      </c>
      <c r="I240" s="169">
        <f>arrears!H240</f>
        <v>0</v>
      </c>
      <c r="J240" s="145">
        <f t="shared" si="31"/>
        <v>0</v>
      </c>
      <c r="K240" s="146">
        <f t="shared" si="29"/>
        <v>0</v>
      </c>
      <c r="L240" s="183"/>
    </row>
    <row r="241" spans="1:12" ht="13.8" thickBot="1" x14ac:dyDescent="0.3">
      <c r="A241" s="131" t="s">
        <v>14</v>
      </c>
      <c r="B241" s="169">
        <f>arrears!B241</f>
        <v>0</v>
      </c>
      <c r="C241" s="169">
        <f>arrears!C241</f>
        <v>0</v>
      </c>
      <c r="D241" s="145">
        <f t="shared" si="30"/>
        <v>0</v>
      </c>
      <c r="E241" s="146">
        <f t="shared" si="28"/>
        <v>0</v>
      </c>
      <c r="F241" s="18"/>
      <c r="G241" s="131" t="s">
        <v>14</v>
      </c>
      <c r="H241" s="169">
        <f>arrears!G241</f>
        <v>0</v>
      </c>
      <c r="I241" s="169">
        <f>arrears!H241</f>
        <v>0</v>
      </c>
      <c r="J241" s="145">
        <f t="shared" si="31"/>
        <v>0</v>
      </c>
      <c r="K241" s="146">
        <f t="shared" si="29"/>
        <v>0</v>
      </c>
      <c r="L241" s="183"/>
    </row>
    <row r="242" spans="1:12" ht="13.8" thickBot="1" x14ac:dyDescent="0.3">
      <c r="A242" s="131" t="s">
        <v>15</v>
      </c>
      <c r="B242" s="169">
        <f>arrears!B242</f>
        <v>0</v>
      </c>
      <c r="C242" s="169">
        <f>arrears!C242</f>
        <v>0</v>
      </c>
      <c r="D242" s="145">
        <f t="shared" si="30"/>
        <v>0</v>
      </c>
      <c r="E242" s="146">
        <f t="shared" si="28"/>
        <v>0</v>
      </c>
      <c r="F242" s="18"/>
      <c r="G242" s="131" t="s">
        <v>15</v>
      </c>
      <c r="H242" s="169">
        <f>arrears!G242</f>
        <v>0</v>
      </c>
      <c r="I242" s="169">
        <f>arrears!H242</f>
        <v>0</v>
      </c>
      <c r="J242" s="145">
        <f t="shared" si="31"/>
        <v>0</v>
      </c>
      <c r="K242" s="146">
        <f t="shared" si="29"/>
        <v>0</v>
      </c>
      <c r="L242" s="183"/>
    </row>
    <row r="243" spans="1:12" ht="13.8" thickBot="1" x14ac:dyDescent="0.3">
      <c r="A243" s="131" t="s">
        <v>16</v>
      </c>
      <c r="B243" s="169">
        <f>arrears!B243</f>
        <v>0</v>
      </c>
      <c r="C243" s="169">
        <f>arrears!C243</f>
        <v>0</v>
      </c>
      <c r="D243" s="145">
        <f t="shared" si="30"/>
        <v>0</v>
      </c>
      <c r="E243" s="146">
        <f t="shared" si="28"/>
        <v>0</v>
      </c>
      <c r="F243" s="18"/>
      <c r="G243" s="131" t="s">
        <v>16</v>
      </c>
      <c r="H243" s="169">
        <f>arrears!G243</f>
        <v>0</v>
      </c>
      <c r="I243" s="169">
        <f>arrears!H243</f>
        <v>0</v>
      </c>
      <c r="J243" s="145">
        <f t="shared" si="31"/>
        <v>0</v>
      </c>
      <c r="K243" s="146">
        <f t="shared" si="29"/>
        <v>0</v>
      </c>
      <c r="L243" s="183"/>
    </row>
    <row r="244" spans="1:12" ht="13.8" thickBot="1" x14ac:dyDescent="0.3">
      <c r="A244" s="131" t="s">
        <v>17</v>
      </c>
      <c r="B244" s="169">
        <f>arrears!B244</f>
        <v>0</v>
      </c>
      <c r="C244" s="169">
        <f>arrears!C244</f>
        <v>0</v>
      </c>
      <c r="D244" s="145">
        <f t="shared" si="30"/>
        <v>0</v>
      </c>
      <c r="E244" s="146">
        <f t="shared" si="28"/>
        <v>0</v>
      </c>
      <c r="F244" s="18"/>
      <c r="G244" s="131" t="s">
        <v>17</v>
      </c>
      <c r="H244" s="169">
        <f>arrears!G244</f>
        <v>0</v>
      </c>
      <c r="I244" s="169">
        <f>arrears!H244</f>
        <v>0</v>
      </c>
      <c r="J244" s="145">
        <f t="shared" si="31"/>
        <v>0</v>
      </c>
      <c r="K244" s="146">
        <f t="shared" si="29"/>
        <v>0</v>
      </c>
      <c r="L244" s="183"/>
    </row>
    <row r="245" spans="1:12" ht="13.8" thickBot="1" x14ac:dyDescent="0.3">
      <c r="A245" s="131" t="s">
        <v>18</v>
      </c>
      <c r="B245" s="169">
        <f>arrears!B245</f>
        <v>0</v>
      </c>
      <c r="C245" s="169">
        <f>arrears!C245</f>
        <v>0</v>
      </c>
      <c r="D245" s="145">
        <f t="shared" si="30"/>
        <v>0</v>
      </c>
      <c r="E245" s="146">
        <f t="shared" si="28"/>
        <v>0</v>
      </c>
      <c r="F245" s="18"/>
      <c r="G245" s="131" t="s">
        <v>18</v>
      </c>
      <c r="H245" s="169">
        <f>arrears!G245</f>
        <v>0</v>
      </c>
      <c r="I245" s="169">
        <f>arrears!H245</f>
        <v>0</v>
      </c>
      <c r="J245" s="145">
        <f t="shared" si="31"/>
        <v>0</v>
      </c>
      <c r="K245" s="146">
        <f t="shared" si="29"/>
        <v>0</v>
      </c>
      <c r="L245" s="183"/>
    </row>
    <row r="246" spans="1:12" ht="13.8" thickBot="1" x14ac:dyDescent="0.3">
      <c r="A246" s="133" t="s">
        <v>19</v>
      </c>
      <c r="B246" s="169">
        <f>SUM(B234:B245)</f>
        <v>0</v>
      </c>
      <c r="C246" s="169">
        <f>SUM(C234:C245)</f>
        <v>0</v>
      </c>
      <c r="D246" s="169" t="s">
        <v>26</v>
      </c>
      <c r="E246" s="170">
        <f>SUM(E234:E245)</f>
        <v>0</v>
      </c>
      <c r="F246" s="180"/>
      <c r="G246" s="133" t="s">
        <v>19</v>
      </c>
      <c r="H246" s="169">
        <f>SUM(H234:H245)</f>
        <v>0</v>
      </c>
      <c r="I246" s="169">
        <f>SUM(I234:I245)</f>
        <v>0</v>
      </c>
      <c r="J246" s="169" t="s">
        <v>26</v>
      </c>
      <c r="K246" s="170">
        <f>SUM(K234:K245)</f>
        <v>0</v>
      </c>
      <c r="L246" s="183"/>
    </row>
    <row r="247" spans="1:12" x14ac:dyDescent="0.25">
      <c r="A247" s="207">
        <f>arrears!A247</f>
        <v>0</v>
      </c>
      <c r="F247" s="18"/>
      <c r="G247" s="207">
        <f>arrears!F247</f>
        <v>0</v>
      </c>
      <c r="L247" s="183"/>
    </row>
    <row r="248" spans="1:12" x14ac:dyDescent="0.25">
      <c r="A248" s="207">
        <f>arrears!A248</f>
        <v>0</v>
      </c>
      <c r="F248" s="18"/>
      <c r="G248" s="207">
        <f>arrears!F248</f>
        <v>0</v>
      </c>
      <c r="L248" s="183"/>
    </row>
    <row r="249" spans="1:12" x14ac:dyDescent="0.25">
      <c r="A249" s="207">
        <f>arrears!A249</f>
        <v>0</v>
      </c>
      <c r="F249" s="18"/>
      <c r="G249" s="207">
        <f>arrears!F249</f>
        <v>0</v>
      </c>
      <c r="L249" s="183"/>
    </row>
    <row r="250" spans="1:12" x14ac:dyDescent="0.25">
      <c r="A250" s="207">
        <f>arrears!A250</f>
        <v>0</v>
      </c>
      <c r="F250" s="18"/>
      <c r="G250" s="207">
        <f>arrears!F250</f>
        <v>0</v>
      </c>
      <c r="L250" s="183"/>
    </row>
    <row r="251" spans="1:12" x14ac:dyDescent="0.25">
      <c r="A251" s="98"/>
      <c r="B251" s="98"/>
      <c r="C251" s="98"/>
      <c r="D251" s="98"/>
      <c r="E251" s="98"/>
      <c r="F251" s="18"/>
      <c r="G251" s="98"/>
      <c r="H251" s="100" t="s">
        <v>71</v>
      </c>
      <c r="I251" s="178">
        <f>SUM(B227,H227,H246,B246)-SUM(C227,I227,I246,C246)</f>
        <v>0</v>
      </c>
      <c r="J251" s="98"/>
      <c r="K251" s="98"/>
      <c r="L251" s="183"/>
    </row>
    <row r="252" spans="1:12" x14ac:dyDescent="0.25">
      <c r="A252" s="98"/>
      <c r="B252" s="98"/>
      <c r="C252" s="98"/>
      <c r="D252" s="98"/>
      <c r="E252" s="98"/>
      <c r="F252" s="18"/>
      <c r="G252" s="98"/>
      <c r="H252" s="98"/>
      <c r="I252" s="98"/>
      <c r="J252" s="98"/>
      <c r="K252" s="98"/>
      <c r="L252" s="183"/>
    </row>
    <row r="253" spans="1:12" x14ac:dyDescent="0.25">
      <c r="A253" s="98"/>
      <c r="B253" s="98"/>
      <c r="C253" s="98"/>
      <c r="D253" s="98"/>
      <c r="E253" s="98"/>
      <c r="F253" s="18"/>
      <c r="G253" s="98"/>
      <c r="H253" s="98"/>
      <c r="I253" s="98"/>
      <c r="J253" s="98"/>
      <c r="K253" s="98"/>
      <c r="L253" s="183"/>
    </row>
    <row r="254" spans="1:12" x14ac:dyDescent="0.25">
      <c r="A254" s="98"/>
      <c r="B254" s="98"/>
      <c r="C254" s="98"/>
      <c r="D254" s="98"/>
      <c r="E254" s="98"/>
      <c r="F254" s="18"/>
      <c r="G254" s="98"/>
      <c r="H254" s="98"/>
      <c r="I254" s="98"/>
      <c r="J254" s="98"/>
      <c r="K254" s="98"/>
      <c r="L254" s="183"/>
    </row>
    <row r="255" spans="1:12" x14ac:dyDescent="0.25">
      <c r="A255" s="98"/>
      <c r="B255" s="98"/>
      <c r="C255" s="98"/>
      <c r="D255" s="98"/>
      <c r="E255" s="98"/>
      <c r="F255" s="18"/>
      <c r="G255" s="98"/>
      <c r="H255" s="98"/>
      <c r="I255" s="98"/>
      <c r="J255" s="98"/>
      <c r="K255" s="98"/>
      <c r="L255" s="183"/>
    </row>
    <row r="256" spans="1:12" x14ac:dyDescent="0.25">
      <c r="A256" s="98"/>
      <c r="B256" s="100" t="s">
        <v>0</v>
      </c>
      <c r="C256" s="185" t="str">
        <f>C3</f>
        <v xml:space="preserve"> </v>
      </c>
      <c r="D256" s="98"/>
      <c r="E256" s="98"/>
      <c r="F256" s="18"/>
      <c r="G256" s="98"/>
      <c r="H256" s="100" t="s">
        <v>53</v>
      </c>
      <c r="I256" s="185" t="str">
        <f>arrears!$G$3</f>
        <v xml:space="preserve"> </v>
      </c>
      <c r="J256" s="98"/>
      <c r="K256" s="98"/>
      <c r="L256" s="183"/>
    </row>
    <row r="257" spans="1:12" x14ac:dyDescent="0.25">
      <c r="A257" s="98"/>
      <c r="B257" s="100" t="s">
        <v>1</v>
      </c>
      <c r="C257" s="185" t="str">
        <f>C4</f>
        <v xml:space="preserve"> </v>
      </c>
      <c r="D257" s="98"/>
      <c r="E257" s="98"/>
      <c r="F257" s="18"/>
      <c r="G257" s="98"/>
      <c r="H257" s="100" t="s">
        <v>26</v>
      </c>
      <c r="I257" s="98" t="s">
        <v>26</v>
      </c>
      <c r="J257" s="98"/>
      <c r="K257" s="98"/>
      <c r="L257" s="183"/>
    </row>
    <row r="258" spans="1:12" x14ac:dyDescent="0.25">
      <c r="A258" s="98"/>
      <c r="B258" s="98"/>
      <c r="C258" s="98"/>
      <c r="D258" s="98"/>
      <c r="E258" s="98"/>
      <c r="F258" s="18"/>
      <c r="G258" s="98"/>
      <c r="H258" s="98"/>
      <c r="I258" s="98"/>
      <c r="J258" s="98"/>
      <c r="K258" s="98"/>
      <c r="L258" s="183"/>
    </row>
    <row r="259" spans="1:12" x14ac:dyDescent="0.25">
      <c r="A259" s="98"/>
      <c r="B259" s="100" t="s">
        <v>26</v>
      </c>
      <c r="C259" s="122" t="s">
        <v>26</v>
      </c>
      <c r="D259" s="98"/>
      <c r="E259" s="98"/>
      <c r="F259" s="18"/>
      <c r="G259" s="98"/>
      <c r="H259" s="98"/>
      <c r="I259" s="98"/>
      <c r="J259" s="98"/>
      <c r="K259" s="98"/>
      <c r="L259" s="183"/>
    </row>
    <row r="260" spans="1:12" x14ac:dyDescent="0.25">
      <c r="A260" s="98"/>
      <c r="B260" s="98" t="s">
        <v>26</v>
      </c>
      <c r="C260" s="134" t="s">
        <v>26</v>
      </c>
      <c r="D260" s="98"/>
      <c r="E260" s="98"/>
      <c r="F260" s="18"/>
      <c r="G260" s="98"/>
      <c r="H260" s="98"/>
      <c r="I260" s="98"/>
      <c r="J260" s="98"/>
      <c r="K260" s="98"/>
      <c r="L260" s="183"/>
    </row>
    <row r="261" spans="1:12" ht="13.8" thickBot="1" x14ac:dyDescent="0.3">
      <c r="A261" s="98"/>
      <c r="B261" s="98"/>
      <c r="C261" s="98"/>
      <c r="D261" s="98"/>
      <c r="E261" s="98"/>
      <c r="F261" s="18"/>
      <c r="G261" s="98"/>
      <c r="H261" s="98"/>
      <c r="I261" s="98"/>
      <c r="J261" s="98"/>
      <c r="K261" s="98"/>
      <c r="L261" s="183"/>
    </row>
    <row r="262" spans="1:12" ht="13.8" thickBot="1" x14ac:dyDescent="0.3">
      <c r="A262" s="131" t="s">
        <v>2</v>
      </c>
      <c r="B262" s="131" t="str">
        <f>arrears!B262</f>
        <v xml:space="preserve"> </v>
      </c>
      <c r="C262" s="131"/>
      <c r="D262" s="131"/>
      <c r="E262" s="131"/>
      <c r="F262" s="18"/>
      <c r="G262" s="131" t="s">
        <v>2</v>
      </c>
      <c r="H262" s="131" t="str">
        <f>arrears!G262</f>
        <v xml:space="preserve"> </v>
      </c>
      <c r="I262" s="131"/>
      <c r="J262" s="131"/>
      <c r="K262" s="132"/>
      <c r="L262" s="183"/>
    </row>
    <row r="263" spans="1:12" ht="13.8" thickBot="1" x14ac:dyDescent="0.3">
      <c r="A263" s="131" t="s">
        <v>3</v>
      </c>
      <c r="B263" s="131" t="s">
        <v>4</v>
      </c>
      <c r="C263" s="131" t="s">
        <v>5</v>
      </c>
      <c r="D263" s="131" t="s">
        <v>6</v>
      </c>
      <c r="E263" s="131" t="s">
        <v>27</v>
      </c>
      <c r="F263" s="18"/>
      <c r="G263" s="131" t="s">
        <v>3</v>
      </c>
      <c r="H263" s="131" t="s">
        <v>4</v>
      </c>
      <c r="I263" s="131" t="s">
        <v>5</v>
      </c>
      <c r="J263" s="131" t="s">
        <v>6</v>
      </c>
      <c r="K263" s="131" t="s">
        <v>27</v>
      </c>
      <c r="L263" s="183"/>
    </row>
    <row r="264" spans="1:12" ht="13.8" thickBot="1" x14ac:dyDescent="0.3">
      <c r="A264" s="131" t="s">
        <v>7</v>
      </c>
      <c r="B264" s="169">
        <f>arrears!B264</f>
        <v>0</v>
      </c>
      <c r="C264" s="169">
        <f>arrears!C264</f>
        <v>0</v>
      </c>
      <c r="D264" s="145">
        <f>IF(F264="s",($O$5),IF(F264="j",($O$5),IF(L245="e",0,IF(L245="b",0,IF(F264="b",SUM(J245+B264-C264),SUM(J245+B264-C264))))))</f>
        <v>0</v>
      </c>
      <c r="E264" s="146">
        <f t="shared" ref="E264:E275" si="32">IF(F264="s",Surcharge,IF(F264="n",0,IF(F264="b",0,IF(F264="j",0,IF(D264=0,0,IF(D264&gt;0,D264*Surcharge_Rate,IF(D264&lt;0,0)))))))</f>
        <v>0</v>
      </c>
      <c r="F264" s="18"/>
      <c r="G264" s="131" t="s">
        <v>7</v>
      </c>
      <c r="H264" s="169">
        <f>arrears!G264</f>
        <v>0</v>
      </c>
      <c r="I264" s="169">
        <f>arrears!H264</f>
        <v>0</v>
      </c>
      <c r="J264" s="145">
        <f>IF(L264="s",($O$5),IF(L264="j",($O$5),IF(F275="e",0,IF(F275="b",0,IF(L264="b",SUM(D275+H264-I264),SUM(D275+H264-I264))))))</f>
        <v>0</v>
      </c>
      <c r="K264" s="146">
        <f t="shared" ref="K264:K275" si="33">IF(L264="s",Surcharge,IF(L264="n",0,IF(L264="b",0,IF(L264="j",0,IF(J264=0,0,IF(J264&gt;0,J264*Surcharge_Rate,IF(J264&lt;0,0)))))))</f>
        <v>0</v>
      </c>
      <c r="L264" s="183"/>
    </row>
    <row r="265" spans="1:12" ht="13.8" thickBot="1" x14ac:dyDescent="0.3">
      <c r="A265" s="131" t="s">
        <v>8</v>
      </c>
      <c r="B265" s="169">
        <f>arrears!B265</f>
        <v>0</v>
      </c>
      <c r="C265" s="169">
        <f>arrears!C265</f>
        <v>0</v>
      </c>
      <c r="D265" s="145">
        <f t="shared" ref="D265:D275" si="34">IF(F265="s",($O$5),IF(F265="j",($O$5),IF(F264="e",0,IF(F264="b",0,IF(F265="b",SUM(D264+B265-C265),SUM(D264+B265-C265))))))</f>
        <v>0</v>
      </c>
      <c r="E265" s="146">
        <f t="shared" si="32"/>
        <v>0</v>
      </c>
      <c r="F265" s="18"/>
      <c r="G265" s="131" t="s">
        <v>8</v>
      </c>
      <c r="H265" s="169">
        <f>arrears!G265</f>
        <v>0</v>
      </c>
      <c r="I265" s="169">
        <f>arrears!H265</f>
        <v>0</v>
      </c>
      <c r="J265" s="145">
        <f t="shared" ref="J265:J275" si="35">IF(L265="s",($O$5),IF(L265="j",($O$5),IF(L264="e",0,IF(L264="b",0,IF(L265="b",SUM(J264+H265-I265),SUM(J264+H265-I265))))))</f>
        <v>0</v>
      </c>
      <c r="K265" s="146">
        <f t="shared" si="33"/>
        <v>0</v>
      </c>
      <c r="L265" s="183"/>
    </row>
    <row r="266" spans="1:12" ht="13.8" thickBot="1" x14ac:dyDescent="0.3">
      <c r="A266" s="131" t="s">
        <v>9</v>
      </c>
      <c r="B266" s="169">
        <f>arrears!B266</f>
        <v>0</v>
      </c>
      <c r="C266" s="169">
        <f>arrears!C266</f>
        <v>0</v>
      </c>
      <c r="D266" s="145">
        <f t="shared" si="34"/>
        <v>0</v>
      </c>
      <c r="E266" s="146">
        <f t="shared" si="32"/>
        <v>0</v>
      </c>
      <c r="F266" s="18"/>
      <c r="G266" s="131" t="s">
        <v>9</v>
      </c>
      <c r="H266" s="169">
        <f>arrears!G266</f>
        <v>0</v>
      </c>
      <c r="I266" s="169">
        <f>arrears!H266</f>
        <v>0</v>
      </c>
      <c r="J266" s="145">
        <f t="shared" si="35"/>
        <v>0</v>
      </c>
      <c r="K266" s="146">
        <f t="shared" si="33"/>
        <v>0</v>
      </c>
      <c r="L266" s="183"/>
    </row>
    <row r="267" spans="1:12" ht="13.8" thickBot="1" x14ac:dyDescent="0.3">
      <c r="A267" s="131" t="s">
        <v>10</v>
      </c>
      <c r="B267" s="169">
        <f>arrears!B267</f>
        <v>0</v>
      </c>
      <c r="C267" s="169">
        <f>arrears!C267</f>
        <v>0</v>
      </c>
      <c r="D267" s="145">
        <f t="shared" si="34"/>
        <v>0</v>
      </c>
      <c r="E267" s="146">
        <f t="shared" si="32"/>
        <v>0</v>
      </c>
      <c r="F267" s="18"/>
      <c r="G267" s="131" t="s">
        <v>10</v>
      </c>
      <c r="H267" s="169">
        <f>arrears!G267</f>
        <v>0</v>
      </c>
      <c r="I267" s="169">
        <f>arrears!H267</f>
        <v>0</v>
      </c>
      <c r="J267" s="145">
        <f t="shared" si="35"/>
        <v>0</v>
      </c>
      <c r="K267" s="146">
        <f t="shared" si="33"/>
        <v>0</v>
      </c>
      <c r="L267" s="183"/>
    </row>
    <row r="268" spans="1:12" ht="13.8" thickBot="1" x14ac:dyDescent="0.3">
      <c r="A268" s="131" t="s">
        <v>11</v>
      </c>
      <c r="B268" s="169">
        <f>arrears!B268</f>
        <v>0</v>
      </c>
      <c r="C268" s="169">
        <f>arrears!C268</f>
        <v>0</v>
      </c>
      <c r="D268" s="145">
        <f t="shared" si="34"/>
        <v>0</v>
      </c>
      <c r="E268" s="146">
        <f t="shared" si="32"/>
        <v>0</v>
      </c>
      <c r="F268" s="18"/>
      <c r="G268" s="131" t="s">
        <v>11</v>
      </c>
      <c r="H268" s="169">
        <f>arrears!G268</f>
        <v>0</v>
      </c>
      <c r="I268" s="169">
        <f>arrears!H268</f>
        <v>0</v>
      </c>
      <c r="J268" s="145">
        <f t="shared" si="35"/>
        <v>0</v>
      </c>
      <c r="K268" s="146">
        <f t="shared" si="33"/>
        <v>0</v>
      </c>
      <c r="L268" s="183"/>
    </row>
    <row r="269" spans="1:12" ht="13.8" thickBot="1" x14ac:dyDescent="0.3">
      <c r="A269" s="131" t="s">
        <v>12</v>
      </c>
      <c r="B269" s="169">
        <f>arrears!B269</f>
        <v>0</v>
      </c>
      <c r="C269" s="169">
        <f>arrears!C269</f>
        <v>0</v>
      </c>
      <c r="D269" s="145">
        <f t="shared" si="34"/>
        <v>0</v>
      </c>
      <c r="E269" s="146">
        <f t="shared" si="32"/>
        <v>0</v>
      </c>
      <c r="F269" s="18"/>
      <c r="G269" s="131" t="s">
        <v>12</v>
      </c>
      <c r="H269" s="169">
        <f>arrears!G269</f>
        <v>0</v>
      </c>
      <c r="I269" s="169">
        <f>arrears!H269</f>
        <v>0</v>
      </c>
      <c r="J269" s="145">
        <f t="shared" si="35"/>
        <v>0</v>
      </c>
      <c r="K269" s="146">
        <f t="shared" si="33"/>
        <v>0</v>
      </c>
      <c r="L269" s="183"/>
    </row>
    <row r="270" spans="1:12" ht="13.8" thickBot="1" x14ac:dyDescent="0.3">
      <c r="A270" s="131" t="s">
        <v>13</v>
      </c>
      <c r="B270" s="169">
        <f>arrears!B270</f>
        <v>0</v>
      </c>
      <c r="C270" s="169">
        <f>arrears!C270</f>
        <v>0</v>
      </c>
      <c r="D270" s="145">
        <f t="shared" si="34"/>
        <v>0</v>
      </c>
      <c r="E270" s="146">
        <f t="shared" si="32"/>
        <v>0</v>
      </c>
      <c r="F270" s="18"/>
      <c r="G270" s="131" t="s">
        <v>13</v>
      </c>
      <c r="H270" s="169">
        <f>arrears!G270</f>
        <v>0</v>
      </c>
      <c r="I270" s="169">
        <f>arrears!H270</f>
        <v>0</v>
      </c>
      <c r="J270" s="145">
        <f t="shared" si="35"/>
        <v>0</v>
      </c>
      <c r="K270" s="146">
        <f t="shared" si="33"/>
        <v>0</v>
      </c>
      <c r="L270" s="183"/>
    </row>
    <row r="271" spans="1:12" ht="13.8" thickBot="1" x14ac:dyDescent="0.3">
      <c r="A271" s="131" t="s">
        <v>14</v>
      </c>
      <c r="B271" s="169">
        <f>arrears!B271</f>
        <v>0</v>
      </c>
      <c r="C271" s="169">
        <f>arrears!C271</f>
        <v>0</v>
      </c>
      <c r="D271" s="145">
        <f t="shared" si="34"/>
        <v>0</v>
      </c>
      <c r="E271" s="146">
        <f t="shared" si="32"/>
        <v>0</v>
      </c>
      <c r="F271" s="18"/>
      <c r="G271" s="131" t="s">
        <v>14</v>
      </c>
      <c r="H271" s="169">
        <f>arrears!G271</f>
        <v>0</v>
      </c>
      <c r="I271" s="169">
        <f>arrears!H271</f>
        <v>0</v>
      </c>
      <c r="J271" s="145">
        <f t="shared" si="35"/>
        <v>0</v>
      </c>
      <c r="K271" s="146">
        <f t="shared" si="33"/>
        <v>0</v>
      </c>
      <c r="L271" s="183"/>
    </row>
    <row r="272" spans="1:12" ht="13.8" thickBot="1" x14ac:dyDescent="0.3">
      <c r="A272" s="131" t="s">
        <v>15</v>
      </c>
      <c r="B272" s="169">
        <f>arrears!B272</f>
        <v>0</v>
      </c>
      <c r="C272" s="169">
        <f>arrears!C272</f>
        <v>0</v>
      </c>
      <c r="D272" s="145">
        <f t="shared" si="34"/>
        <v>0</v>
      </c>
      <c r="E272" s="146">
        <f t="shared" si="32"/>
        <v>0</v>
      </c>
      <c r="F272" s="18"/>
      <c r="G272" s="131" t="s">
        <v>15</v>
      </c>
      <c r="H272" s="169">
        <f>arrears!G272</f>
        <v>0</v>
      </c>
      <c r="I272" s="169">
        <f>arrears!H272</f>
        <v>0</v>
      </c>
      <c r="J272" s="145">
        <f t="shared" si="35"/>
        <v>0</v>
      </c>
      <c r="K272" s="146">
        <f t="shared" si="33"/>
        <v>0</v>
      </c>
      <c r="L272" s="183"/>
    </row>
    <row r="273" spans="1:12" ht="13.8" thickBot="1" x14ac:dyDescent="0.3">
      <c r="A273" s="131" t="s">
        <v>16</v>
      </c>
      <c r="B273" s="169">
        <f>arrears!B273</f>
        <v>0</v>
      </c>
      <c r="C273" s="169">
        <f>arrears!C273</f>
        <v>0</v>
      </c>
      <c r="D273" s="145">
        <f t="shared" si="34"/>
        <v>0</v>
      </c>
      <c r="E273" s="146">
        <f t="shared" si="32"/>
        <v>0</v>
      </c>
      <c r="F273" s="18"/>
      <c r="G273" s="131" t="s">
        <v>16</v>
      </c>
      <c r="H273" s="169">
        <f>arrears!G273</f>
        <v>0</v>
      </c>
      <c r="I273" s="169">
        <f>arrears!H273</f>
        <v>0</v>
      </c>
      <c r="J273" s="145">
        <f t="shared" si="35"/>
        <v>0</v>
      </c>
      <c r="K273" s="146">
        <f t="shared" si="33"/>
        <v>0</v>
      </c>
      <c r="L273" s="183"/>
    </row>
    <row r="274" spans="1:12" ht="13.8" thickBot="1" x14ac:dyDescent="0.3">
      <c r="A274" s="131" t="s">
        <v>17</v>
      </c>
      <c r="B274" s="169">
        <f>arrears!B274</f>
        <v>0</v>
      </c>
      <c r="C274" s="169">
        <f>arrears!C274</f>
        <v>0</v>
      </c>
      <c r="D274" s="145">
        <f t="shared" si="34"/>
        <v>0</v>
      </c>
      <c r="E274" s="146">
        <f t="shared" si="32"/>
        <v>0</v>
      </c>
      <c r="F274" s="18"/>
      <c r="G274" s="131" t="s">
        <v>17</v>
      </c>
      <c r="H274" s="169">
        <f>arrears!G274</f>
        <v>0</v>
      </c>
      <c r="I274" s="169">
        <f>arrears!H274</f>
        <v>0</v>
      </c>
      <c r="J274" s="145">
        <f t="shared" si="35"/>
        <v>0</v>
      </c>
      <c r="K274" s="146">
        <f t="shared" si="33"/>
        <v>0</v>
      </c>
      <c r="L274" s="183"/>
    </row>
    <row r="275" spans="1:12" ht="13.8" thickBot="1" x14ac:dyDescent="0.3">
      <c r="A275" s="131" t="s">
        <v>18</v>
      </c>
      <c r="B275" s="169">
        <f>arrears!B275</f>
        <v>0</v>
      </c>
      <c r="C275" s="169">
        <f>arrears!C275</f>
        <v>0</v>
      </c>
      <c r="D275" s="145">
        <f t="shared" si="34"/>
        <v>0</v>
      </c>
      <c r="E275" s="146">
        <f t="shared" si="32"/>
        <v>0</v>
      </c>
      <c r="F275" s="18"/>
      <c r="G275" s="131" t="s">
        <v>18</v>
      </c>
      <c r="H275" s="169">
        <f>arrears!G275</f>
        <v>0</v>
      </c>
      <c r="I275" s="169">
        <f>arrears!H275</f>
        <v>0</v>
      </c>
      <c r="J275" s="145">
        <f t="shared" si="35"/>
        <v>0</v>
      </c>
      <c r="K275" s="146">
        <f t="shared" si="33"/>
        <v>0</v>
      </c>
      <c r="L275" s="183"/>
    </row>
    <row r="276" spans="1:12" ht="13.8" thickBot="1" x14ac:dyDescent="0.3">
      <c r="A276" s="133" t="s">
        <v>19</v>
      </c>
      <c r="B276" s="169">
        <f>SUM(B264:B275)</f>
        <v>0</v>
      </c>
      <c r="C276" s="169">
        <f>SUM(C264:C275)</f>
        <v>0</v>
      </c>
      <c r="D276" s="169" t="s">
        <v>26</v>
      </c>
      <c r="E276" s="170">
        <f>SUM(E264:E275)</f>
        <v>0</v>
      </c>
      <c r="F276" s="180"/>
      <c r="G276" s="133" t="s">
        <v>19</v>
      </c>
      <c r="H276" s="169">
        <f>SUM(H264:H275)</f>
        <v>0</v>
      </c>
      <c r="I276" s="169">
        <f>SUM(I264:I275)</f>
        <v>0</v>
      </c>
      <c r="J276" s="169" t="s">
        <v>26</v>
      </c>
      <c r="K276" s="170">
        <f>SUM(K264:K275)</f>
        <v>0</v>
      </c>
      <c r="L276" s="183"/>
    </row>
    <row r="277" spans="1:12" x14ac:dyDescent="0.25">
      <c r="A277" s="207">
        <f>arrears!A277</f>
        <v>0</v>
      </c>
      <c r="F277" s="18"/>
      <c r="G277" s="207">
        <f>arrears!F277</f>
        <v>0</v>
      </c>
      <c r="L277" s="183"/>
    </row>
    <row r="278" spans="1:12" x14ac:dyDescent="0.25">
      <c r="A278" s="207">
        <f>arrears!A278</f>
        <v>0</v>
      </c>
      <c r="F278" s="18"/>
      <c r="G278" s="207">
        <f>arrears!F278</f>
        <v>0</v>
      </c>
      <c r="L278" s="183"/>
    </row>
    <row r="279" spans="1:12" x14ac:dyDescent="0.25">
      <c r="A279" s="207">
        <f>arrears!A279</f>
        <v>0</v>
      </c>
      <c r="F279" s="18"/>
      <c r="G279" s="207">
        <f>arrears!F279</f>
        <v>0</v>
      </c>
      <c r="L279" s="183"/>
    </row>
    <row r="280" spans="1:12" ht="13.8" thickBot="1" x14ac:dyDescent="0.3">
      <c r="A280" s="207">
        <f>arrears!A280</f>
        <v>0</v>
      </c>
      <c r="F280" s="18"/>
      <c r="G280" s="207">
        <f>arrears!F280</f>
        <v>0</v>
      </c>
      <c r="L280" s="183"/>
    </row>
    <row r="281" spans="1:12" ht="13.8" thickBot="1" x14ac:dyDescent="0.3">
      <c r="A281" s="131" t="s">
        <v>2</v>
      </c>
      <c r="B281" s="131" t="str">
        <f>arrears!B281</f>
        <v xml:space="preserve"> </v>
      </c>
      <c r="C281" s="131"/>
      <c r="D281" s="131"/>
      <c r="E281" s="131"/>
      <c r="F281" s="18"/>
      <c r="G281" s="136" t="s">
        <v>2</v>
      </c>
      <c r="H281" s="131" t="str">
        <f>arrears!G281</f>
        <v xml:space="preserve"> </v>
      </c>
      <c r="I281" s="131"/>
      <c r="J281" s="131"/>
      <c r="K281" s="132"/>
      <c r="L281" s="183"/>
    </row>
    <row r="282" spans="1:12" ht="13.8" thickBot="1" x14ac:dyDescent="0.3">
      <c r="A282" s="131" t="s">
        <v>3</v>
      </c>
      <c r="B282" s="131" t="s">
        <v>4</v>
      </c>
      <c r="C282" s="131" t="s">
        <v>5</v>
      </c>
      <c r="D282" s="131" t="s">
        <v>6</v>
      </c>
      <c r="E282" s="131" t="s">
        <v>27</v>
      </c>
      <c r="F282" s="18"/>
      <c r="G282" s="131" t="s">
        <v>3</v>
      </c>
      <c r="H282" s="131" t="s">
        <v>4</v>
      </c>
      <c r="I282" s="131" t="s">
        <v>5</v>
      </c>
      <c r="J282" s="131" t="s">
        <v>6</v>
      </c>
      <c r="K282" s="131" t="s">
        <v>27</v>
      </c>
      <c r="L282" s="183"/>
    </row>
    <row r="283" spans="1:12" ht="13.8" thickBot="1" x14ac:dyDescent="0.3">
      <c r="A283" s="131" t="s">
        <v>7</v>
      </c>
      <c r="B283" s="169">
        <f>arrears!B283</f>
        <v>0</v>
      </c>
      <c r="C283" s="169">
        <f>arrears!C283</f>
        <v>0</v>
      </c>
      <c r="D283" s="145">
        <f>IF(F283="s",($O$5),IF(F283="j",0,IF(L275="e",0,IF(L275="b",0,IF(F283="b",SUM(J275+B283-C283),SUM(J275+B283-C283))))))</f>
        <v>0</v>
      </c>
      <c r="E283" s="146">
        <f t="shared" ref="E283:E294" si="36">IF(F283="s",Surcharge,IF(F283="n",0,IF(F283="b",0,IF(F283="j",0,IF(D283=0,0,IF(D283&gt;0,D283*Surcharge_Rate,IF(D283&lt;0,0)))))))</f>
        <v>0</v>
      </c>
      <c r="F283" s="18"/>
      <c r="G283" s="131" t="s">
        <v>7</v>
      </c>
      <c r="H283" s="169">
        <f>arrears!G283</f>
        <v>0</v>
      </c>
      <c r="I283" s="169">
        <f>arrears!H283</f>
        <v>0</v>
      </c>
      <c r="J283" s="145">
        <f>IF(L283="s",($O$5),IF(L283="j",($O$5),IF(F294="e",0,IF(F294="b",0,IF(L283="b",SUM(D294+H283-I283),SUM(D294+H283-I283))))))</f>
        <v>0</v>
      </c>
      <c r="K283" s="146">
        <f t="shared" ref="K283:K294" si="37">IF(L283="s",Surcharge,IF(L283="n",0,IF(L283="b",0,IF(L283="j",0,IF(J283=0,0,IF(J283&gt;0,J283*Surcharge_Rate,IF(J283&lt;0,0)))))))</f>
        <v>0</v>
      </c>
      <c r="L283" s="183"/>
    </row>
    <row r="284" spans="1:12" ht="13.8" thickBot="1" x14ac:dyDescent="0.3">
      <c r="A284" s="131" t="s">
        <v>8</v>
      </c>
      <c r="B284" s="169">
        <f>arrears!B284</f>
        <v>0</v>
      </c>
      <c r="C284" s="169">
        <f>arrears!C284</f>
        <v>0</v>
      </c>
      <c r="D284" s="145">
        <f t="shared" ref="D284:D294" si="38">IF(F284="s",($O$5),IF(F284="j",($O$5),IF(F283="e",0,IF(F283="b",0,IF(F284="b",SUM(D283+B284-C284),SUM(D283+B284-C284))))))</f>
        <v>0</v>
      </c>
      <c r="E284" s="146">
        <f t="shared" si="36"/>
        <v>0</v>
      </c>
      <c r="F284" s="18"/>
      <c r="G284" s="131" t="s">
        <v>8</v>
      </c>
      <c r="H284" s="169">
        <f>arrears!G284</f>
        <v>0</v>
      </c>
      <c r="I284" s="169">
        <f>arrears!H284</f>
        <v>0</v>
      </c>
      <c r="J284" s="145">
        <f t="shared" ref="J284:J294" si="39">IF(L284="s",($O$5),IF(L284="j",($O$5),IF(L283="e",0,IF(L283="b",0,IF(L284="b",SUM(J283+H284-I284),SUM(J283+H284-I284))))))</f>
        <v>0</v>
      </c>
      <c r="K284" s="146">
        <f t="shared" si="37"/>
        <v>0</v>
      </c>
      <c r="L284" s="183"/>
    </row>
    <row r="285" spans="1:12" ht="13.8" thickBot="1" x14ac:dyDescent="0.3">
      <c r="A285" s="131" t="s">
        <v>9</v>
      </c>
      <c r="B285" s="169">
        <f>arrears!B285</f>
        <v>0</v>
      </c>
      <c r="C285" s="169">
        <f>arrears!C285</f>
        <v>0</v>
      </c>
      <c r="D285" s="145">
        <f t="shared" si="38"/>
        <v>0</v>
      </c>
      <c r="E285" s="146">
        <f t="shared" si="36"/>
        <v>0</v>
      </c>
      <c r="F285" s="18"/>
      <c r="G285" s="131" t="s">
        <v>9</v>
      </c>
      <c r="H285" s="169">
        <f>arrears!G285</f>
        <v>0</v>
      </c>
      <c r="I285" s="169">
        <f>arrears!H285</f>
        <v>0</v>
      </c>
      <c r="J285" s="145">
        <f t="shared" si="39"/>
        <v>0</v>
      </c>
      <c r="K285" s="146">
        <f t="shared" si="37"/>
        <v>0</v>
      </c>
      <c r="L285" s="183"/>
    </row>
    <row r="286" spans="1:12" ht="13.8" thickBot="1" x14ac:dyDescent="0.3">
      <c r="A286" s="131" t="s">
        <v>10</v>
      </c>
      <c r="B286" s="169">
        <f>arrears!B286</f>
        <v>0</v>
      </c>
      <c r="C286" s="169">
        <f>arrears!C286</f>
        <v>0</v>
      </c>
      <c r="D286" s="145">
        <f t="shared" si="38"/>
        <v>0</v>
      </c>
      <c r="E286" s="146">
        <f t="shared" si="36"/>
        <v>0</v>
      </c>
      <c r="F286" s="18"/>
      <c r="G286" s="131" t="s">
        <v>10</v>
      </c>
      <c r="H286" s="169">
        <f>arrears!G286</f>
        <v>0</v>
      </c>
      <c r="I286" s="169">
        <f>arrears!H286</f>
        <v>0</v>
      </c>
      <c r="J286" s="145">
        <f t="shared" si="39"/>
        <v>0</v>
      </c>
      <c r="K286" s="146">
        <f t="shared" si="37"/>
        <v>0</v>
      </c>
      <c r="L286" s="183"/>
    </row>
    <row r="287" spans="1:12" ht="13.8" thickBot="1" x14ac:dyDescent="0.3">
      <c r="A287" s="131" t="s">
        <v>11</v>
      </c>
      <c r="B287" s="169">
        <f>arrears!B287</f>
        <v>0</v>
      </c>
      <c r="C287" s="169">
        <f>arrears!C287</f>
        <v>0</v>
      </c>
      <c r="D287" s="145">
        <f t="shared" si="38"/>
        <v>0</v>
      </c>
      <c r="E287" s="146">
        <f t="shared" si="36"/>
        <v>0</v>
      </c>
      <c r="F287" s="18"/>
      <c r="G287" s="131" t="s">
        <v>11</v>
      </c>
      <c r="H287" s="169">
        <f>arrears!G287</f>
        <v>0</v>
      </c>
      <c r="I287" s="169">
        <f>arrears!H287</f>
        <v>0</v>
      </c>
      <c r="J287" s="145">
        <f t="shared" si="39"/>
        <v>0</v>
      </c>
      <c r="K287" s="146">
        <f t="shared" si="37"/>
        <v>0</v>
      </c>
      <c r="L287" s="183"/>
    </row>
    <row r="288" spans="1:12" ht="13.8" thickBot="1" x14ac:dyDescent="0.3">
      <c r="A288" s="131" t="s">
        <v>12</v>
      </c>
      <c r="B288" s="169">
        <f>arrears!B288</f>
        <v>0</v>
      </c>
      <c r="C288" s="169">
        <f>arrears!C288</f>
        <v>0</v>
      </c>
      <c r="D288" s="145">
        <f t="shared" si="38"/>
        <v>0</v>
      </c>
      <c r="E288" s="146">
        <f t="shared" si="36"/>
        <v>0</v>
      </c>
      <c r="F288" s="18"/>
      <c r="G288" s="131" t="s">
        <v>12</v>
      </c>
      <c r="H288" s="169">
        <f>arrears!G288</f>
        <v>0</v>
      </c>
      <c r="I288" s="169">
        <f>arrears!H288</f>
        <v>0</v>
      </c>
      <c r="J288" s="145">
        <f t="shared" si="39"/>
        <v>0</v>
      </c>
      <c r="K288" s="146">
        <f t="shared" si="37"/>
        <v>0</v>
      </c>
      <c r="L288" s="183"/>
    </row>
    <row r="289" spans="1:12" ht="13.8" thickBot="1" x14ac:dyDescent="0.3">
      <c r="A289" s="131" t="s">
        <v>13</v>
      </c>
      <c r="B289" s="169">
        <f>arrears!B289</f>
        <v>0</v>
      </c>
      <c r="C289" s="169">
        <f>arrears!C289</f>
        <v>0</v>
      </c>
      <c r="D289" s="145">
        <f t="shared" si="38"/>
        <v>0</v>
      </c>
      <c r="E289" s="146">
        <f t="shared" si="36"/>
        <v>0</v>
      </c>
      <c r="F289" s="18"/>
      <c r="G289" s="131" t="s">
        <v>13</v>
      </c>
      <c r="H289" s="169">
        <f>arrears!G289</f>
        <v>0</v>
      </c>
      <c r="I289" s="169">
        <f>arrears!H289</f>
        <v>0</v>
      </c>
      <c r="J289" s="145">
        <f t="shared" si="39"/>
        <v>0</v>
      </c>
      <c r="K289" s="146">
        <f t="shared" si="37"/>
        <v>0</v>
      </c>
      <c r="L289" s="183"/>
    </row>
    <row r="290" spans="1:12" ht="13.8" thickBot="1" x14ac:dyDescent="0.3">
      <c r="A290" s="131" t="s">
        <v>14</v>
      </c>
      <c r="B290" s="169">
        <f>arrears!B290</f>
        <v>0</v>
      </c>
      <c r="C290" s="169">
        <f>arrears!C290</f>
        <v>0</v>
      </c>
      <c r="D290" s="145">
        <f t="shared" si="38"/>
        <v>0</v>
      </c>
      <c r="E290" s="146">
        <f t="shared" si="36"/>
        <v>0</v>
      </c>
      <c r="F290" s="18"/>
      <c r="G290" s="131" t="s">
        <v>14</v>
      </c>
      <c r="H290" s="169">
        <f>arrears!G290</f>
        <v>0</v>
      </c>
      <c r="I290" s="169">
        <f>arrears!H290</f>
        <v>0</v>
      </c>
      <c r="J290" s="145">
        <f t="shared" si="39"/>
        <v>0</v>
      </c>
      <c r="K290" s="146">
        <f t="shared" si="37"/>
        <v>0</v>
      </c>
      <c r="L290" s="183"/>
    </row>
    <row r="291" spans="1:12" ht="13.8" thickBot="1" x14ac:dyDescent="0.3">
      <c r="A291" s="131" t="s">
        <v>15</v>
      </c>
      <c r="B291" s="169">
        <f>arrears!B291</f>
        <v>0</v>
      </c>
      <c r="C291" s="169">
        <f>arrears!C291</f>
        <v>0</v>
      </c>
      <c r="D291" s="145">
        <f t="shared" si="38"/>
        <v>0</v>
      </c>
      <c r="E291" s="146">
        <f t="shared" si="36"/>
        <v>0</v>
      </c>
      <c r="F291" s="18"/>
      <c r="G291" s="131" t="s">
        <v>15</v>
      </c>
      <c r="H291" s="169">
        <f>arrears!G291</f>
        <v>0</v>
      </c>
      <c r="I291" s="169">
        <f>arrears!H291</f>
        <v>0</v>
      </c>
      <c r="J291" s="145">
        <f t="shared" si="39"/>
        <v>0</v>
      </c>
      <c r="K291" s="146">
        <f t="shared" si="37"/>
        <v>0</v>
      </c>
      <c r="L291" s="183"/>
    </row>
    <row r="292" spans="1:12" ht="13.8" thickBot="1" x14ac:dyDescent="0.3">
      <c r="A292" s="131" t="s">
        <v>16</v>
      </c>
      <c r="B292" s="169">
        <f>arrears!B292</f>
        <v>0</v>
      </c>
      <c r="C292" s="169">
        <f>arrears!C292</f>
        <v>0</v>
      </c>
      <c r="D292" s="145">
        <f t="shared" si="38"/>
        <v>0</v>
      </c>
      <c r="E292" s="146">
        <f t="shared" si="36"/>
        <v>0</v>
      </c>
      <c r="F292" s="18"/>
      <c r="G292" s="131" t="s">
        <v>16</v>
      </c>
      <c r="H292" s="169">
        <f>arrears!G292</f>
        <v>0</v>
      </c>
      <c r="I292" s="169">
        <f>arrears!H292</f>
        <v>0</v>
      </c>
      <c r="J292" s="145">
        <f t="shared" si="39"/>
        <v>0</v>
      </c>
      <c r="K292" s="146">
        <f t="shared" si="37"/>
        <v>0</v>
      </c>
      <c r="L292" s="183"/>
    </row>
    <row r="293" spans="1:12" ht="13.8" thickBot="1" x14ac:dyDescent="0.3">
      <c r="A293" s="131" t="s">
        <v>17</v>
      </c>
      <c r="B293" s="169">
        <f>arrears!B293</f>
        <v>0</v>
      </c>
      <c r="C293" s="169">
        <f>arrears!C293</f>
        <v>0</v>
      </c>
      <c r="D293" s="145">
        <f t="shared" si="38"/>
        <v>0</v>
      </c>
      <c r="E293" s="146">
        <f t="shared" si="36"/>
        <v>0</v>
      </c>
      <c r="F293" s="18"/>
      <c r="G293" s="131" t="s">
        <v>17</v>
      </c>
      <c r="H293" s="169">
        <f>arrears!G293</f>
        <v>0</v>
      </c>
      <c r="I293" s="169">
        <f>arrears!H293</f>
        <v>0</v>
      </c>
      <c r="J293" s="145">
        <f t="shared" si="39"/>
        <v>0</v>
      </c>
      <c r="K293" s="146">
        <f t="shared" si="37"/>
        <v>0</v>
      </c>
      <c r="L293" s="183"/>
    </row>
    <row r="294" spans="1:12" ht="13.8" thickBot="1" x14ac:dyDescent="0.3">
      <c r="A294" s="131" t="s">
        <v>18</v>
      </c>
      <c r="B294" s="169">
        <f>arrears!B294</f>
        <v>0</v>
      </c>
      <c r="C294" s="169">
        <f>arrears!C294</f>
        <v>0</v>
      </c>
      <c r="D294" s="145">
        <f t="shared" si="38"/>
        <v>0</v>
      </c>
      <c r="E294" s="146">
        <f t="shared" si="36"/>
        <v>0</v>
      </c>
      <c r="F294" s="18"/>
      <c r="G294" s="131" t="s">
        <v>18</v>
      </c>
      <c r="H294" s="169">
        <f>arrears!G294</f>
        <v>0</v>
      </c>
      <c r="I294" s="169">
        <f>arrears!H294</f>
        <v>0</v>
      </c>
      <c r="J294" s="145">
        <f t="shared" si="39"/>
        <v>0</v>
      </c>
      <c r="K294" s="146">
        <f t="shared" si="37"/>
        <v>0</v>
      </c>
      <c r="L294" s="183"/>
    </row>
    <row r="295" spans="1:12" ht="13.8" thickBot="1" x14ac:dyDescent="0.3">
      <c r="A295" s="133" t="s">
        <v>19</v>
      </c>
      <c r="B295" s="169">
        <f>SUM(B283:B294)</f>
        <v>0</v>
      </c>
      <c r="C295" s="169">
        <f>SUM(C283:C294)</f>
        <v>0</v>
      </c>
      <c r="D295" s="169" t="s">
        <v>26</v>
      </c>
      <c r="E295" s="170">
        <f>SUM(E283:E294)</f>
        <v>0</v>
      </c>
      <c r="F295" s="180"/>
      <c r="G295" s="133" t="s">
        <v>19</v>
      </c>
      <c r="H295" s="169">
        <f>SUM(H283:H294)</f>
        <v>0</v>
      </c>
      <c r="I295" s="169">
        <f>SUM(I283:I294)</f>
        <v>0</v>
      </c>
      <c r="J295" s="169" t="s">
        <v>26</v>
      </c>
      <c r="K295" s="170">
        <f>SUM(K283:K294)</f>
        <v>0</v>
      </c>
      <c r="L295" s="183"/>
    </row>
    <row r="296" spans="1:12" x14ac:dyDescent="0.25">
      <c r="A296" s="207">
        <f>arrears!A296</f>
        <v>0</v>
      </c>
      <c r="F296" s="18"/>
      <c r="G296" s="207">
        <f>arrears!F296</f>
        <v>0</v>
      </c>
      <c r="L296" s="183"/>
    </row>
    <row r="297" spans="1:12" x14ac:dyDescent="0.25">
      <c r="A297" s="207">
        <f>arrears!A297</f>
        <v>0</v>
      </c>
      <c r="F297" s="18"/>
      <c r="G297" s="207">
        <f>arrears!F297</f>
        <v>0</v>
      </c>
      <c r="L297" s="183"/>
    </row>
    <row r="298" spans="1:12" x14ac:dyDescent="0.25">
      <c r="A298" s="207">
        <f>arrears!A298</f>
        <v>0</v>
      </c>
      <c r="F298" s="18"/>
      <c r="G298" s="207">
        <f>arrears!F298</f>
        <v>0</v>
      </c>
      <c r="L298" s="183"/>
    </row>
    <row r="299" spans="1:12" x14ac:dyDescent="0.25">
      <c r="A299" s="207">
        <f>arrears!A299</f>
        <v>0</v>
      </c>
      <c r="F299" s="18"/>
      <c r="G299" s="207">
        <f>arrears!F299</f>
        <v>0</v>
      </c>
      <c r="L299" s="183"/>
    </row>
    <row r="300" spans="1:12" x14ac:dyDescent="0.25">
      <c r="A300" s="98"/>
      <c r="B300" s="98"/>
      <c r="C300" s="98"/>
      <c r="D300" s="98"/>
      <c r="E300" s="98"/>
      <c r="F300" s="18"/>
      <c r="G300" s="98"/>
      <c r="H300" s="100" t="s">
        <v>71</v>
      </c>
      <c r="I300" s="178">
        <f>SUM(B276,H276,B295,H295)-SUM(C276,I276,I295,C295)</f>
        <v>0</v>
      </c>
      <c r="J300" s="98"/>
      <c r="K300" s="98"/>
      <c r="L300" s="183"/>
    </row>
    <row r="301" spans="1:12" x14ac:dyDescent="0.25">
      <c r="A301" s="98"/>
      <c r="B301" s="98"/>
      <c r="C301" s="98"/>
      <c r="D301" s="98"/>
      <c r="E301" s="98"/>
      <c r="F301" s="18"/>
      <c r="G301" s="98"/>
      <c r="H301" s="98"/>
      <c r="I301" s="98"/>
      <c r="J301" s="98"/>
      <c r="K301" s="98"/>
      <c r="L301" s="183"/>
    </row>
    <row r="302" spans="1:12" x14ac:dyDescent="0.25">
      <c r="A302" s="98"/>
      <c r="B302" s="98"/>
      <c r="C302" s="98"/>
      <c r="D302" s="98"/>
      <c r="E302" s="98"/>
      <c r="F302" s="18"/>
      <c r="G302" s="98"/>
      <c r="H302" s="98"/>
      <c r="I302" s="98"/>
      <c r="J302" s="98"/>
      <c r="K302" s="98"/>
      <c r="L302" s="183"/>
    </row>
    <row r="303" spans="1:12" x14ac:dyDescent="0.25">
      <c r="A303" s="98"/>
      <c r="B303" s="98"/>
      <c r="C303" s="98"/>
      <c r="D303" s="98"/>
      <c r="E303" s="98"/>
      <c r="F303" s="18"/>
      <c r="G303" s="98"/>
      <c r="H303" s="98"/>
      <c r="I303" s="98"/>
      <c r="J303" s="98"/>
      <c r="K303" s="98"/>
      <c r="L303" s="183"/>
    </row>
    <row r="304" spans="1:12" x14ac:dyDescent="0.25">
      <c r="A304" s="98"/>
      <c r="B304" s="98"/>
      <c r="C304" s="98"/>
      <c r="D304" s="98"/>
      <c r="E304" s="98"/>
      <c r="F304" s="18"/>
      <c r="G304" s="98"/>
      <c r="H304" s="98"/>
      <c r="I304" s="98"/>
      <c r="J304" s="98"/>
      <c r="K304" s="98"/>
      <c r="L304" s="183"/>
    </row>
    <row r="305" spans="1:12" x14ac:dyDescent="0.25">
      <c r="A305" s="98"/>
      <c r="B305" s="100" t="s">
        <v>0</v>
      </c>
      <c r="C305" s="185" t="str">
        <f>C3</f>
        <v xml:space="preserve"> </v>
      </c>
      <c r="D305" s="98"/>
      <c r="E305" s="98"/>
      <c r="F305" s="18"/>
      <c r="G305" s="98"/>
      <c r="H305" s="100" t="s">
        <v>53</v>
      </c>
      <c r="I305" s="185" t="str">
        <f>arrears!$G$3</f>
        <v xml:space="preserve"> </v>
      </c>
      <c r="J305" s="98"/>
      <c r="K305" s="98"/>
      <c r="L305" s="183"/>
    </row>
    <row r="306" spans="1:12" x14ac:dyDescent="0.25">
      <c r="A306" s="98"/>
      <c r="B306" s="100" t="s">
        <v>1</v>
      </c>
      <c r="C306" s="185" t="str">
        <f>C4</f>
        <v xml:space="preserve"> </v>
      </c>
      <c r="D306" s="98"/>
      <c r="E306" s="98"/>
      <c r="F306" s="18"/>
      <c r="G306" s="98"/>
      <c r="H306" s="100" t="s">
        <v>26</v>
      </c>
      <c r="I306" s="98" t="s">
        <v>26</v>
      </c>
      <c r="J306" s="98"/>
      <c r="K306" s="98"/>
      <c r="L306" s="183"/>
    </row>
    <row r="307" spans="1:12" x14ac:dyDescent="0.25">
      <c r="A307" s="98"/>
      <c r="B307" s="98"/>
      <c r="C307" s="98"/>
      <c r="D307" s="98"/>
      <c r="E307" s="98"/>
      <c r="F307" s="18"/>
      <c r="G307" s="98"/>
      <c r="H307" s="98"/>
      <c r="I307" s="98"/>
      <c r="J307" s="98"/>
      <c r="K307" s="98"/>
      <c r="L307" s="183"/>
    </row>
    <row r="308" spans="1:12" x14ac:dyDescent="0.25">
      <c r="A308" s="98"/>
      <c r="B308" s="100" t="s">
        <v>26</v>
      </c>
      <c r="C308" s="122" t="s">
        <v>26</v>
      </c>
      <c r="D308" s="98"/>
      <c r="E308" s="98"/>
      <c r="F308" s="18"/>
      <c r="G308" s="98"/>
      <c r="H308" s="98"/>
      <c r="I308" s="98"/>
      <c r="J308" s="98"/>
      <c r="K308" s="98"/>
      <c r="L308" s="183"/>
    </row>
    <row r="309" spans="1:12" x14ac:dyDescent="0.25">
      <c r="A309" s="98"/>
      <c r="B309" s="98" t="s">
        <v>26</v>
      </c>
      <c r="C309" s="134" t="s">
        <v>26</v>
      </c>
      <c r="D309" s="98"/>
      <c r="E309" s="98"/>
      <c r="F309" s="18"/>
      <c r="G309" s="98"/>
      <c r="H309" s="98"/>
      <c r="I309" s="98"/>
      <c r="J309" s="98"/>
      <c r="K309" s="98"/>
      <c r="L309" s="183"/>
    </row>
    <row r="310" spans="1:12" ht="13.8" thickBot="1" x14ac:dyDescent="0.3">
      <c r="A310" s="98"/>
      <c r="B310" s="98"/>
      <c r="C310" s="98"/>
      <c r="D310" s="98"/>
      <c r="E310" s="98"/>
      <c r="F310" s="18"/>
      <c r="G310" s="98"/>
      <c r="H310" s="98"/>
      <c r="I310" s="98"/>
      <c r="J310" s="98"/>
      <c r="K310" s="98"/>
      <c r="L310" s="183"/>
    </row>
    <row r="311" spans="1:12" ht="13.8" thickBot="1" x14ac:dyDescent="0.3">
      <c r="A311" s="131" t="s">
        <v>2</v>
      </c>
      <c r="B311" s="131" t="str">
        <f>arrears!B311</f>
        <v xml:space="preserve"> </v>
      </c>
      <c r="C311" s="131"/>
      <c r="D311" s="131"/>
      <c r="E311" s="131"/>
      <c r="F311" s="18"/>
      <c r="G311" s="131" t="s">
        <v>2</v>
      </c>
      <c r="H311" s="131" t="str">
        <f>arrears!G311</f>
        <v xml:space="preserve"> </v>
      </c>
      <c r="I311" s="131"/>
      <c r="J311" s="131"/>
      <c r="K311" s="132"/>
      <c r="L311" s="183"/>
    </row>
    <row r="312" spans="1:12" ht="13.8" thickBot="1" x14ac:dyDescent="0.3">
      <c r="A312" s="131" t="s">
        <v>3</v>
      </c>
      <c r="B312" s="131" t="s">
        <v>4</v>
      </c>
      <c r="C312" s="131" t="s">
        <v>5</v>
      </c>
      <c r="D312" s="131" t="s">
        <v>6</v>
      </c>
      <c r="E312" s="131" t="s">
        <v>27</v>
      </c>
      <c r="F312" s="18"/>
      <c r="G312" s="131" t="s">
        <v>3</v>
      </c>
      <c r="H312" s="131" t="s">
        <v>4</v>
      </c>
      <c r="I312" s="131" t="s">
        <v>5</v>
      </c>
      <c r="J312" s="131" t="s">
        <v>6</v>
      </c>
      <c r="K312" s="131" t="s">
        <v>27</v>
      </c>
      <c r="L312" s="183"/>
    </row>
    <row r="313" spans="1:12" ht="13.8" thickBot="1" x14ac:dyDescent="0.3">
      <c r="A313" s="131" t="s">
        <v>7</v>
      </c>
      <c r="B313" s="169">
        <f>arrears!B313</f>
        <v>0</v>
      </c>
      <c r="C313" s="169">
        <f>arrears!C313</f>
        <v>0</v>
      </c>
      <c r="D313" s="145">
        <f>IF(F313="s",($O$5),IF(F313="j",($O$5),IF(L294="e",0,IF(L294="b",0,IF(F313="b",SUM(J294+B313-C313),SUM(J294+B313-C313))))))</f>
        <v>0</v>
      </c>
      <c r="E313" s="146">
        <f t="shared" ref="E313:E324" si="40">IF(F313="s",Surcharge,IF(F313="n",0,IF(F313="b",0,IF(F313="j",0,IF(D313=0,0,IF(D313&gt;0,D313*Surcharge_Rate,IF(D313&lt;0,0)))))))</f>
        <v>0</v>
      </c>
      <c r="F313" s="18"/>
      <c r="G313" s="131" t="s">
        <v>7</v>
      </c>
      <c r="H313" s="169">
        <f>arrears!G313</f>
        <v>0</v>
      </c>
      <c r="I313" s="169">
        <f>arrears!H313</f>
        <v>0</v>
      </c>
      <c r="J313" s="145">
        <f>IF(L313="s",($O$5),IF(L313="j",($O$5),IF(F324="e",0,IF(F324="b",0,IF(L313="b",SUM(D324+H313-I313),SUM(D324+H313-I313))))))</f>
        <v>0</v>
      </c>
      <c r="K313" s="146">
        <f t="shared" ref="K313:K324" si="41">IF(L313="s",Surcharge,IF(L313="n",0,IF(L313="b",0,IF(L313="j",0,IF(J313=0,0,IF(J313&gt;0,J313*Surcharge_Rate,IF(J313&lt;0,0)))))))</f>
        <v>0</v>
      </c>
      <c r="L313" s="183"/>
    </row>
    <row r="314" spans="1:12" ht="13.8" thickBot="1" x14ac:dyDescent="0.3">
      <c r="A314" s="131" t="s">
        <v>8</v>
      </c>
      <c r="B314" s="169">
        <f>arrears!B314</f>
        <v>0</v>
      </c>
      <c r="C314" s="169">
        <f>arrears!C314</f>
        <v>0</v>
      </c>
      <c r="D314" s="145">
        <f t="shared" ref="D314:D324" si="42">IF(F314="s",($O$5),IF(F314="j",($O$5),IF(F313="e",0,IF(F313="b",0,IF(F314="b",SUM(D313+B314-C314),SUM(D313+B314-C314))))))</f>
        <v>0</v>
      </c>
      <c r="E314" s="146">
        <f t="shared" si="40"/>
        <v>0</v>
      </c>
      <c r="F314" s="18"/>
      <c r="G314" s="131" t="s">
        <v>8</v>
      </c>
      <c r="H314" s="169">
        <f>arrears!G314</f>
        <v>0</v>
      </c>
      <c r="I314" s="169">
        <f>arrears!H314</f>
        <v>0</v>
      </c>
      <c r="J314" s="145">
        <f t="shared" ref="J314:J324" si="43">IF(L314="s",($O$5),IF(L314="j",($O$5),IF(L313="e",0,IF(L313="b",0,IF(L314="b",SUM(J313+H314-I314),SUM(J313+H314-I314))))))</f>
        <v>0</v>
      </c>
      <c r="K314" s="146">
        <f t="shared" si="41"/>
        <v>0</v>
      </c>
      <c r="L314" s="183"/>
    </row>
    <row r="315" spans="1:12" ht="13.8" thickBot="1" x14ac:dyDescent="0.3">
      <c r="A315" s="131" t="s">
        <v>9</v>
      </c>
      <c r="B315" s="169">
        <f>arrears!B315</f>
        <v>0</v>
      </c>
      <c r="C315" s="169">
        <f>arrears!C315</f>
        <v>0</v>
      </c>
      <c r="D315" s="145">
        <f t="shared" si="42"/>
        <v>0</v>
      </c>
      <c r="E315" s="146">
        <f t="shared" si="40"/>
        <v>0</v>
      </c>
      <c r="F315" s="18"/>
      <c r="G315" s="131" t="s">
        <v>9</v>
      </c>
      <c r="H315" s="169">
        <f>arrears!G315</f>
        <v>0</v>
      </c>
      <c r="I315" s="169">
        <f>arrears!H315</f>
        <v>0</v>
      </c>
      <c r="J315" s="145">
        <f t="shared" si="43"/>
        <v>0</v>
      </c>
      <c r="K315" s="146">
        <f t="shared" si="41"/>
        <v>0</v>
      </c>
      <c r="L315" s="183"/>
    </row>
    <row r="316" spans="1:12" ht="13.8" thickBot="1" x14ac:dyDescent="0.3">
      <c r="A316" s="131" t="s">
        <v>10</v>
      </c>
      <c r="B316" s="169">
        <f>arrears!B316</f>
        <v>0</v>
      </c>
      <c r="C316" s="169">
        <f>arrears!C316</f>
        <v>0</v>
      </c>
      <c r="D316" s="145">
        <f t="shared" si="42"/>
        <v>0</v>
      </c>
      <c r="E316" s="146">
        <f t="shared" si="40"/>
        <v>0</v>
      </c>
      <c r="F316" s="18"/>
      <c r="G316" s="131" t="s">
        <v>10</v>
      </c>
      <c r="H316" s="169">
        <f>arrears!G316</f>
        <v>0</v>
      </c>
      <c r="I316" s="169">
        <f>arrears!H316</f>
        <v>0</v>
      </c>
      <c r="J316" s="145">
        <f t="shared" si="43"/>
        <v>0</v>
      </c>
      <c r="K316" s="146">
        <f t="shared" si="41"/>
        <v>0</v>
      </c>
      <c r="L316" s="183"/>
    </row>
    <row r="317" spans="1:12" ht="13.8" thickBot="1" x14ac:dyDescent="0.3">
      <c r="A317" s="131" t="s">
        <v>11</v>
      </c>
      <c r="B317" s="169">
        <f>arrears!B317</f>
        <v>0</v>
      </c>
      <c r="C317" s="169">
        <f>arrears!C317</f>
        <v>0</v>
      </c>
      <c r="D317" s="145">
        <f t="shared" si="42"/>
        <v>0</v>
      </c>
      <c r="E317" s="146">
        <f t="shared" si="40"/>
        <v>0</v>
      </c>
      <c r="F317" s="18"/>
      <c r="G317" s="131" t="s">
        <v>11</v>
      </c>
      <c r="H317" s="169">
        <f>arrears!G317</f>
        <v>0</v>
      </c>
      <c r="I317" s="169">
        <f>arrears!H317</f>
        <v>0</v>
      </c>
      <c r="J317" s="145">
        <f t="shared" si="43"/>
        <v>0</v>
      </c>
      <c r="K317" s="146">
        <f t="shared" si="41"/>
        <v>0</v>
      </c>
      <c r="L317" s="183"/>
    </row>
    <row r="318" spans="1:12" ht="13.8" thickBot="1" x14ac:dyDescent="0.3">
      <c r="A318" s="131" t="s">
        <v>12</v>
      </c>
      <c r="B318" s="169">
        <f>arrears!B318</f>
        <v>0</v>
      </c>
      <c r="C318" s="169">
        <f>arrears!C318</f>
        <v>0</v>
      </c>
      <c r="D318" s="145">
        <f t="shared" si="42"/>
        <v>0</v>
      </c>
      <c r="E318" s="146">
        <f t="shared" si="40"/>
        <v>0</v>
      </c>
      <c r="F318" s="18"/>
      <c r="G318" s="131" t="s">
        <v>12</v>
      </c>
      <c r="H318" s="169">
        <f>arrears!G318</f>
        <v>0</v>
      </c>
      <c r="I318" s="169">
        <f>arrears!H318</f>
        <v>0</v>
      </c>
      <c r="J318" s="145">
        <f t="shared" si="43"/>
        <v>0</v>
      </c>
      <c r="K318" s="146">
        <f t="shared" si="41"/>
        <v>0</v>
      </c>
      <c r="L318" s="183"/>
    </row>
    <row r="319" spans="1:12" ht="13.8" thickBot="1" x14ac:dyDescent="0.3">
      <c r="A319" s="131" t="s">
        <v>13</v>
      </c>
      <c r="B319" s="169">
        <f>arrears!B319</f>
        <v>0</v>
      </c>
      <c r="C319" s="169">
        <f>arrears!C319</f>
        <v>0</v>
      </c>
      <c r="D319" s="145">
        <f t="shared" si="42"/>
        <v>0</v>
      </c>
      <c r="E319" s="146">
        <f t="shared" si="40"/>
        <v>0</v>
      </c>
      <c r="F319" s="18"/>
      <c r="G319" s="131" t="s">
        <v>13</v>
      </c>
      <c r="H319" s="169">
        <f>arrears!G319</f>
        <v>0</v>
      </c>
      <c r="I319" s="169">
        <f>arrears!H319</f>
        <v>0</v>
      </c>
      <c r="J319" s="145">
        <f t="shared" si="43"/>
        <v>0</v>
      </c>
      <c r="K319" s="146">
        <f t="shared" si="41"/>
        <v>0</v>
      </c>
      <c r="L319" s="183"/>
    </row>
    <row r="320" spans="1:12" ht="13.8" thickBot="1" x14ac:dyDescent="0.3">
      <c r="A320" s="131" t="s">
        <v>14</v>
      </c>
      <c r="B320" s="169">
        <f>arrears!B320</f>
        <v>0</v>
      </c>
      <c r="C320" s="169">
        <f>arrears!C320</f>
        <v>0</v>
      </c>
      <c r="D320" s="145">
        <f t="shared" si="42"/>
        <v>0</v>
      </c>
      <c r="E320" s="146">
        <f t="shared" si="40"/>
        <v>0</v>
      </c>
      <c r="F320" s="18"/>
      <c r="G320" s="131" t="s">
        <v>14</v>
      </c>
      <c r="H320" s="169">
        <f>arrears!G320</f>
        <v>0</v>
      </c>
      <c r="I320" s="169">
        <f>arrears!H320</f>
        <v>0</v>
      </c>
      <c r="J320" s="145">
        <f t="shared" si="43"/>
        <v>0</v>
      </c>
      <c r="K320" s="146">
        <f t="shared" si="41"/>
        <v>0</v>
      </c>
      <c r="L320" s="183"/>
    </row>
    <row r="321" spans="1:12" ht="13.8" thickBot="1" x14ac:dyDescent="0.3">
      <c r="A321" s="131" t="s">
        <v>15</v>
      </c>
      <c r="B321" s="169">
        <f>arrears!B321</f>
        <v>0</v>
      </c>
      <c r="C321" s="169">
        <f>arrears!C321</f>
        <v>0</v>
      </c>
      <c r="D321" s="145">
        <f t="shared" si="42"/>
        <v>0</v>
      </c>
      <c r="E321" s="146">
        <f t="shared" si="40"/>
        <v>0</v>
      </c>
      <c r="F321" s="18"/>
      <c r="G321" s="131" t="s">
        <v>15</v>
      </c>
      <c r="H321" s="169">
        <f>arrears!G321</f>
        <v>0</v>
      </c>
      <c r="I321" s="169">
        <f>arrears!H321</f>
        <v>0</v>
      </c>
      <c r="J321" s="145">
        <f t="shared" si="43"/>
        <v>0</v>
      </c>
      <c r="K321" s="146">
        <f t="shared" si="41"/>
        <v>0</v>
      </c>
      <c r="L321" s="183"/>
    </row>
    <row r="322" spans="1:12" ht="13.8" thickBot="1" x14ac:dyDescent="0.3">
      <c r="A322" s="131" t="s">
        <v>16</v>
      </c>
      <c r="B322" s="169">
        <f>arrears!B322</f>
        <v>0</v>
      </c>
      <c r="C322" s="169">
        <f>arrears!C322</f>
        <v>0</v>
      </c>
      <c r="D322" s="145">
        <f t="shared" si="42"/>
        <v>0</v>
      </c>
      <c r="E322" s="146">
        <f t="shared" si="40"/>
        <v>0</v>
      </c>
      <c r="F322" s="18"/>
      <c r="G322" s="131" t="s">
        <v>16</v>
      </c>
      <c r="H322" s="169">
        <f>arrears!G322</f>
        <v>0</v>
      </c>
      <c r="I322" s="169">
        <f>arrears!H322</f>
        <v>0</v>
      </c>
      <c r="J322" s="145">
        <f t="shared" si="43"/>
        <v>0</v>
      </c>
      <c r="K322" s="146">
        <f t="shared" si="41"/>
        <v>0</v>
      </c>
      <c r="L322" s="183"/>
    </row>
    <row r="323" spans="1:12" ht="13.8" thickBot="1" x14ac:dyDescent="0.3">
      <c r="A323" s="131" t="s">
        <v>17</v>
      </c>
      <c r="B323" s="169">
        <f>arrears!B323</f>
        <v>0</v>
      </c>
      <c r="C323" s="169">
        <f>arrears!C323</f>
        <v>0</v>
      </c>
      <c r="D323" s="145">
        <f t="shared" si="42"/>
        <v>0</v>
      </c>
      <c r="E323" s="146">
        <f t="shared" si="40"/>
        <v>0</v>
      </c>
      <c r="F323" s="18"/>
      <c r="G323" s="131" t="s">
        <v>17</v>
      </c>
      <c r="H323" s="169">
        <f>arrears!G323</f>
        <v>0</v>
      </c>
      <c r="I323" s="169">
        <f>arrears!H323</f>
        <v>0</v>
      </c>
      <c r="J323" s="145">
        <f t="shared" si="43"/>
        <v>0</v>
      </c>
      <c r="K323" s="146">
        <f t="shared" si="41"/>
        <v>0</v>
      </c>
      <c r="L323" s="183"/>
    </row>
    <row r="324" spans="1:12" ht="13.8" thickBot="1" x14ac:dyDescent="0.3">
      <c r="A324" s="131" t="s">
        <v>18</v>
      </c>
      <c r="B324" s="169">
        <f>arrears!B324</f>
        <v>0</v>
      </c>
      <c r="C324" s="169">
        <f>arrears!C324</f>
        <v>0</v>
      </c>
      <c r="D324" s="145">
        <f t="shared" si="42"/>
        <v>0</v>
      </c>
      <c r="E324" s="146">
        <f t="shared" si="40"/>
        <v>0</v>
      </c>
      <c r="F324" s="18"/>
      <c r="G324" s="131" t="s">
        <v>18</v>
      </c>
      <c r="H324" s="169">
        <f>arrears!G324</f>
        <v>0</v>
      </c>
      <c r="I324" s="169">
        <f>arrears!H324</f>
        <v>0</v>
      </c>
      <c r="J324" s="145">
        <f t="shared" si="43"/>
        <v>0</v>
      </c>
      <c r="K324" s="146">
        <f t="shared" si="41"/>
        <v>0</v>
      </c>
      <c r="L324" s="183"/>
    </row>
    <row r="325" spans="1:12" ht="13.8" thickBot="1" x14ac:dyDescent="0.3">
      <c r="A325" s="133" t="s">
        <v>19</v>
      </c>
      <c r="B325" s="169">
        <f>SUM(B313:B324)</f>
        <v>0</v>
      </c>
      <c r="C325" s="169">
        <f>SUM(C313:C324)</f>
        <v>0</v>
      </c>
      <c r="D325" s="169" t="s">
        <v>26</v>
      </c>
      <c r="E325" s="170">
        <f>SUM(E313:E324)</f>
        <v>0</v>
      </c>
      <c r="F325" s="180"/>
      <c r="G325" s="133" t="s">
        <v>19</v>
      </c>
      <c r="H325" s="169">
        <f>SUM(H313:H324)</f>
        <v>0</v>
      </c>
      <c r="I325" s="169">
        <f>SUM(I313:I324)</f>
        <v>0</v>
      </c>
      <c r="J325" s="169" t="s">
        <v>26</v>
      </c>
      <c r="K325" s="170">
        <f>SUM(K313:K324)</f>
        <v>0</v>
      </c>
      <c r="L325" s="183"/>
    </row>
    <row r="326" spans="1:12" x14ac:dyDescent="0.25">
      <c r="A326" s="207">
        <f>arrears!A326</f>
        <v>0</v>
      </c>
      <c r="F326" s="18"/>
      <c r="G326" s="207">
        <f>arrears!F326</f>
        <v>0</v>
      </c>
      <c r="L326" s="183"/>
    </row>
    <row r="327" spans="1:12" x14ac:dyDescent="0.25">
      <c r="A327" s="207">
        <f>arrears!A327</f>
        <v>0</v>
      </c>
      <c r="F327" s="18"/>
      <c r="G327" s="207">
        <f>arrears!F327</f>
        <v>0</v>
      </c>
      <c r="L327" s="183"/>
    </row>
    <row r="328" spans="1:12" x14ac:dyDescent="0.25">
      <c r="A328" s="207">
        <f>arrears!A328</f>
        <v>0</v>
      </c>
      <c r="F328" s="18"/>
      <c r="G328" s="207">
        <f>arrears!F328</f>
        <v>0</v>
      </c>
      <c r="L328" s="183"/>
    </row>
    <row r="329" spans="1:12" ht="13.8" thickBot="1" x14ac:dyDescent="0.3">
      <c r="A329" s="207">
        <f>arrears!A329</f>
        <v>0</v>
      </c>
      <c r="F329" s="18"/>
      <c r="G329" s="207">
        <f>arrears!F329</f>
        <v>0</v>
      </c>
      <c r="L329" s="183"/>
    </row>
    <row r="330" spans="1:12" ht="13.8" thickBot="1" x14ac:dyDescent="0.3">
      <c r="A330" s="131" t="s">
        <v>2</v>
      </c>
      <c r="B330" s="131" t="str">
        <f>arrears!B330</f>
        <v xml:space="preserve"> </v>
      </c>
      <c r="C330" s="131"/>
      <c r="D330" s="131"/>
      <c r="E330" s="131"/>
      <c r="F330" s="18"/>
      <c r="G330" s="131" t="s">
        <v>2</v>
      </c>
      <c r="H330" s="131" t="str">
        <f>arrears!G330</f>
        <v xml:space="preserve"> </v>
      </c>
      <c r="I330" s="131"/>
      <c r="J330" s="131"/>
      <c r="K330" s="132"/>
      <c r="L330" s="183"/>
    </row>
    <row r="331" spans="1:12" ht="13.8" thickBot="1" x14ac:dyDescent="0.3">
      <c r="A331" s="131" t="s">
        <v>3</v>
      </c>
      <c r="B331" s="131" t="s">
        <v>4</v>
      </c>
      <c r="C331" s="131" t="s">
        <v>5</v>
      </c>
      <c r="D331" s="131" t="s">
        <v>6</v>
      </c>
      <c r="E331" s="131" t="s">
        <v>27</v>
      </c>
      <c r="F331" s="18"/>
      <c r="G331" s="131" t="s">
        <v>3</v>
      </c>
      <c r="H331" s="131" t="s">
        <v>4</v>
      </c>
      <c r="I331" s="131" t="s">
        <v>5</v>
      </c>
      <c r="J331" s="131" t="s">
        <v>6</v>
      </c>
      <c r="K331" s="131" t="s">
        <v>27</v>
      </c>
      <c r="L331" s="183"/>
    </row>
    <row r="332" spans="1:12" ht="13.8" thickBot="1" x14ac:dyDescent="0.3">
      <c r="A332" s="131" t="s">
        <v>7</v>
      </c>
      <c r="B332" s="169">
        <f>arrears!B332</f>
        <v>0</v>
      </c>
      <c r="C332" s="169">
        <f>arrears!C332</f>
        <v>0</v>
      </c>
      <c r="D332" s="145">
        <f>IF(F332="s",($O$5),IF(F332="j",0,IF(L324="e",0,IF(L324="b",0,IF(F332="b",SUM(J324+B332-C332),SUM(J324+B332-C332))))))</f>
        <v>0</v>
      </c>
      <c r="E332" s="146">
        <f t="shared" ref="E332:E343" si="44">IF(F332="s",Surcharge,IF(F332="n",0,IF(F332="b",0,IF(F332="j",0,IF(D332=0,0,IF(D332&gt;0,D332*Surcharge_Rate,IF(D332&lt;0,0)))))))</f>
        <v>0</v>
      </c>
      <c r="F332" s="18"/>
      <c r="G332" s="131" t="s">
        <v>7</v>
      </c>
      <c r="H332" s="169">
        <f>arrears!G332</f>
        <v>0</v>
      </c>
      <c r="I332" s="169">
        <f>arrears!H332</f>
        <v>0</v>
      </c>
      <c r="J332" s="145">
        <f>IF(L332="s",($O$5),IF(L332="j",($O$5),IF(F343="e",0,IF(F343="b",0,IF(L332="b",SUM(D343+H332-I332),SUM(D343+H332-I332))))))</f>
        <v>0</v>
      </c>
      <c r="K332" s="146">
        <f t="shared" ref="K332:K343" si="45">IF(L332="s",Surcharge,IF(L332="n",0,IF(L332="b",0,IF(L332="j",0,IF(J332=0,0,IF(J332&gt;0,J332*Surcharge_Rate,IF(J332&lt;0,0)))))))</f>
        <v>0</v>
      </c>
      <c r="L332" s="183"/>
    </row>
    <row r="333" spans="1:12" ht="13.8" thickBot="1" x14ac:dyDescent="0.3">
      <c r="A333" s="131" t="s">
        <v>8</v>
      </c>
      <c r="B333" s="169">
        <f>arrears!B333</f>
        <v>0</v>
      </c>
      <c r="C333" s="169">
        <f>arrears!C333</f>
        <v>0</v>
      </c>
      <c r="D333" s="145">
        <f t="shared" ref="D333:D343" si="46">IF(F333="s",($O$5),IF(F333="j",($O$5),IF(F332="e",0,IF(F332="b",0,IF(F333="b",SUM(D332+B333-C333),SUM(D332+B333-C333))))))</f>
        <v>0</v>
      </c>
      <c r="E333" s="146">
        <f t="shared" si="44"/>
        <v>0</v>
      </c>
      <c r="F333" s="18"/>
      <c r="G333" s="131" t="s">
        <v>8</v>
      </c>
      <c r="H333" s="169">
        <f>arrears!G333</f>
        <v>0</v>
      </c>
      <c r="I333" s="169">
        <f>arrears!H333</f>
        <v>0</v>
      </c>
      <c r="J333" s="145">
        <f t="shared" ref="J333:J343" si="47">IF(L333="s",($O$5),IF(L333="j",($O$5),IF(L332="e",0,IF(L332="b",0,IF(L333="b",SUM(J332+H333-I333),SUM(J332+H333-I333))))))</f>
        <v>0</v>
      </c>
      <c r="K333" s="146">
        <f t="shared" si="45"/>
        <v>0</v>
      </c>
      <c r="L333" s="183"/>
    </row>
    <row r="334" spans="1:12" ht="13.8" thickBot="1" x14ac:dyDescent="0.3">
      <c r="A334" s="131" t="s">
        <v>9</v>
      </c>
      <c r="B334" s="169">
        <f>arrears!B334</f>
        <v>0</v>
      </c>
      <c r="C334" s="169">
        <f>arrears!C334</f>
        <v>0</v>
      </c>
      <c r="D334" s="145">
        <f t="shared" si="46"/>
        <v>0</v>
      </c>
      <c r="E334" s="146">
        <f t="shared" si="44"/>
        <v>0</v>
      </c>
      <c r="F334" s="18"/>
      <c r="G334" s="131" t="s">
        <v>9</v>
      </c>
      <c r="H334" s="169">
        <f>arrears!G334</f>
        <v>0</v>
      </c>
      <c r="I334" s="169">
        <f>arrears!H334</f>
        <v>0</v>
      </c>
      <c r="J334" s="145">
        <f t="shared" si="47"/>
        <v>0</v>
      </c>
      <c r="K334" s="146">
        <f t="shared" si="45"/>
        <v>0</v>
      </c>
      <c r="L334" s="183"/>
    </row>
    <row r="335" spans="1:12" ht="13.8" thickBot="1" x14ac:dyDescent="0.3">
      <c r="A335" s="131" t="s">
        <v>10</v>
      </c>
      <c r="B335" s="169">
        <f>arrears!B335</f>
        <v>0</v>
      </c>
      <c r="C335" s="169">
        <f>arrears!C335</f>
        <v>0</v>
      </c>
      <c r="D335" s="145">
        <f t="shared" si="46"/>
        <v>0</v>
      </c>
      <c r="E335" s="146">
        <f t="shared" si="44"/>
        <v>0</v>
      </c>
      <c r="F335" s="18"/>
      <c r="G335" s="131" t="s">
        <v>10</v>
      </c>
      <c r="H335" s="169">
        <f>arrears!G335</f>
        <v>0</v>
      </c>
      <c r="I335" s="169">
        <f>arrears!H335</f>
        <v>0</v>
      </c>
      <c r="J335" s="145">
        <f t="shared" si="47"/>
        <v>0</v>
      </c>
      <c r="K335" s="146">
        <f t="shared" si="45"/>
        <v>0</v>
      </c>
      <c r="L335" s="183"/>
    </row>
    <row r="336" spans="1:12" ht="13.8" thickBot="1" x14ac:dyDescent="0.3">
      <c r="A336" s="131" t="s">
        <v>11</v>
      </c>
      <c r="B336" s="169">
        <f>arrears!B336</f>
        <v>0</v>
      </c>
      <c r="C336" s="169">
        <f>arrears!C336</f>
        <v>0</v>
      </c>
      <c r="D336" s="145">
        <f t="shared" si="46"/>
        <v>0</v>
      </c>
      <c r="E336" s="146">
        <f t="shared" si="44"/>
        <v>0</v>
      </c>
      <c r="F336" s="18"/>
      <c r="G336" s="131" t="s">
        <v>11</v>
      </c>
      <c r="H336" s="169">
        <f>arrears!G336</f>
        <v>0</v>
      </c>
      <c r="I336" s="169">
        <f>arrears!H336</f>
        <v>0</v>
      </c>
      <c r="J336" s="145">
        <f t="shared" si="47"/>
        <v>0</v>
      </c>
      <c r="K336" s="146">
        <f t="shared" si="45"/>
        <v>0</v>
      </c>
      <c r="L336" s="183"/>
    </row>
    <row r="337" spans="1:12" ht="13.8" thickBot="1" x14ac:dyDescent="0.3">
      <c r="A337" s="131" t="s">
        <v>12</v>
      </c>
      <c r="B337" s="169">
        <f>arrears!B337</f>
        <v>0</v>
      </c>
      <c r="C337" s="169">
        <f>arrears!C337</f>
        <v>0</v>
      </c>
      <c r="D337" s="145">
        <f t="shared" si="46"/>
        <v>0</v>
      </c>
      <c r="E337" s="146">
        <f t="shared" si="44"/>
        <v>0</v>
      </c>
      <c r="F337" s="18"/>
      <c r="G337" s="131" t="s">
        <v>12</v>
      </c>
      <c r="H337" s="169">
        <f>arrears!G337</f>
        <v>0</v>
      </c>
      <c r="I337" s="169">
        <f>arrears!H337</f>
        <v>0</v>
      </c>
      <c r="J337" s="145">
        <f t="shared" si="47"/>
        <v>0</v>
      </c>
      <c r="K337" s="146">
        <f t="shared" si="45"/>
        <v>0</v>
      </c>
      <c r="L337" s="183"/>
    </row>
    <row r="338" spans="1:12" ht="13.8" thickBot="1" x14ac:dyDescent="0.3">
      <c r="A338" s="131" t="s">
        <v>13</v>
      </c>
      <c r="B338" s="169">
        <f>arrears!B338</f>
        <v>0</v>
      </c>
      <c r="C338" s="169">
        <f>arrears!C338</f>
        <v>0</v>
      </c>
      <c r="D338" s="145">
        <f t="shared" si="46"/>
        <v>0</v>
      </c>
      <c r="E338" s="146">
        <f t="shared" si="44"/>
        <v>0</v>
      </c>
      <c r="F338" s="18"/>
      <c r="G338" s="131" t="s">
        <v>13</v>
      </c>
      <c r="H338" s="169">
        <f>arrears!G338</f>
        <v>0</v>
      </c>
      <c r="I338" s="169">
        <f>arrears!H338</f>
        <v>0</v>
      </c>
      <c r="J338" s="145">
        <f t="shared" si="47"/>
        <v>0</v>
      </c>
      <c r="K338" s="146">
        <f t="shared" si="45"/>
        <v>0</v>
      </c>
      <c r="L338" s="183"/>
    </row>
    <row r="339" spans="1:12" ht="13.8" thickBot="1" x14ac:dyDescent="0.3">
      <c r="A339" s="131" t="s">
        <v>14</v>
      </c>
      <c r="B339" s="169">
        <f>arrears!B339</f>
        <v>0</v>
      </c>
      <c r="C339" s="169">
        <f>arrears!C339</f>
        <v>0</v>
      </c>
      <c r="D339" s="145">
        <f t="shared" si="46"/>
        <v>0</v>
      </c>
      <c r="E339" s="146">
        <f t="shared" si="44"/>
        <v>0</v>
      </c>
      <c r="F339" s="18"/>
      <c r="G339" s="131" t="s">
        <v>14</v>
      </c>
      <c r="H339" s="169">
        <f>arrears!G339</f>
        <v>0</v>
      </c>
      <c r="I339" s="169">
        <f>arrears!H339</f>
        <v>0</v>
      </c>
      <c r="J339" s="145">
        <f t="shared" si="47"/>
        <v>0</v>
      </c>
      <c r="K339" s="146">
        <f t="shared" si="45"/>
        <v>0</v>
      </c>
      <c r="L339" s="183"/>
    </row>
    <row r="340" spans="1:12" ht="13.8" thickBot="1" x14ac:dyDescent="0.3">
      <c r="A340" s="131" t="s">
        <v>15</v>
      </c>
      <c r="B340" s="169">
        <f>arrears!B340</f>
        <v>0</v>
      </c>
      <c r="C340" s="169">
        <f>arrears!C340</f>
        <v>0</v>
      </c>
      <c r="D340" s="145">
        <f t="shared" si="46"/>
        <v>0</v>
      </c>
      <c r="E340" s="146">
        <f t="shared" si="44"/>
        <v>0</v>
      </c>
      <c r="F340" s="18"/>
      <c r="G340" s="131" t="s">
        <v>15</v>
      </c>
      <c r="H340" s="169">
        <f>arrears!G340</f>
        <v>0</v>
      </c>
      <c r="I340" s="169">
        <f>arrears!H340</f>
        <v>0</v>
      </c>
      <c r="J340" s="145">
        <f t="shared" si="47"/>
        <v>0</v>
      </c>
      <c r="K340" s="146">
        <f t="shared" si="45"/>
        <v>0</v>
      </c>
      <c r="L340" s="183"/>
    </row>
    <row r="341" spans="1:12" ht="13.8" thickBot="1" x14ac:dyDescent="0.3">
      <c r="A341" s="131" t="s">
        <v>16</v>
      </c>
      <c r="B341" s="169">
        <f>arrears!B341</f>
        <v>0</v>
      </c>
      <c r="C341" s="169">
        <f>arrears!C341</f>
        <v>0</v>
      </c>
      <c r="D341" s="145">
        <f t="shared" si="46"/>
        <v>0</v>
      </c>
      <c r="E341" s="146">
        <f t="shared" si="44"/>
        <v>0</v>
      </c>
      <c r="F341" s="18"/>
      <c r="G341" s="131" t="s">
        <v>16</v>
      </c>
      <c r="H341" s="169">
        <f>arrears!G341</f>
        <v>0</v>
      </c>
      <c r="I341" s="169">
        <f>arrears!H341</f>
        <v>0</v>
      </c>
      <c r="J341" s="145">
        <f t="shared" si="47"/>
        <v>0</v>
      </c>
      <c r="K341" s="146">
        <f t="shared" si="45"/>
        <v>0</v>
      </c>
      <c r="L341" s="183"/>
    </row>
    <row r="342" spans="1:12" ht="13.8" thickBot="1" x14ac:dyDescent="0.3">
      <c r="A342" s="131" t="s">
        <v>17</v>
      </c>
      <c r="B342" s="169">
        <f>arrears!B342</f>
        <v>0</v>
      </c>
      <c r="C342" s="169">
        <f>arrears!C342</f>
        <v>0</v>
      </c>
      <c r="D342" s="145">
        <f t="shared" si="46"/>
        <v>0</v>
      </c>
      <c r="E342" s="146">
        <f t="shared" si="44"/>
        <v>0</v>
      </c>
      <c r="F342" s="18"/>
      <c r="G342" s="131" t="s">
        <v>17</v>
      </c>
      <c r="H342" s="169">
        <f>arrears!G342</f>
        <v>0</v>
      </c>
      <c r="I342" s="169">
        <f>arrears!H342</f>
        <v>0</v>
      </c>
      <c r="J342" s="145">
        <f t="shared" si="47"/>
        <v>0</v>
      </c>
      <c r="K342" s="146">
        <f t="shared" si="45"/>
        <v>0</v>
      </c>
      <c r="L342" s="183"/>
    </row>
    <row r="343" spans="1:12" ht="13.8" thickBot="1" x14ac:dyDescent="0.3">
      <c r="A343" s="131" t="s">
        <v>18</v>
      </c>
      <c r="B343" s="169">
        <f>arrears!B343</f>
        <v>0</v>
      </c>
      <c r="C343" s="169">
        <f>arrears!C343</f>
        <v>0</v>
      </c>
      <c r="D343" s="145">
        <f t="shared" si="46"/>
        <v>0</v>
      </c>
      <c r="E343" s="146">
        <f t="shared" si="44"/>
        <v>0</v>
      </c>
      <c r="F343" s="18"/>
      <c r="G343" s="131" t="s">
        <v>18</v>
      </c>
      <c r="H343" s="169">
        <f>arrears!G343</f>
        <v>0</v>
      </c>
      <c r="I343" s="169">
        <f>arrears!H343</f>
        <v>0</v>
      </c>
      <c r="J343" s="145">
        <f t="shared" si="47"/>
        <v>0</v>
      </c>
      <c r="K343" s="146">
        <f t="shared" si="45"/>
        <v>0</v>
      </c>
      <c r="L343" s="183"/>
    </row>
    <row r="344" spans="1:12" ht="13.8" thickBot="1" x14ac:dyDescent="0.3">
      <c r="A344" s="133" t="s">
        <v>19</v>
      </c>
      <c r="B344" s="169">
        <f>SUM(B332:B343)</f>
        <v>0</v>
      </c>
      <c r="C344" s="169">
        <f>SUM(C332:C343)</f>
        <v>0</v>
      </c>
      <c r="D344" s="169" t="s">
        <v>26</v>
      </c>
      <c r="E344" s="170">
        <f>SUM(E332:E343)</f>
        <v>0</v>
      </c>
      <c r="F344" s="180"/>
      <c r="G344" s="133" t="s">
        <v>19</v>
      </c>
      <c r="H344" s="169">
        <f>SUM(H332:H343)</f>
        <v>0</v>
      </c>
      <c r="I344" s="169">
        <f>SUM(I332:I343)</f>
        <v>0</v>
      </c>
      <c r="J344" s="169" t="s">
        <v>26</v>
      </c>
      <c r="K344" s="170">
        <f>SUM(K332:K343)</f>
        <v>0</v>
      </c>
      <c r="L344" s="183"/>
    </row>
    <row r="345" spans="1:12" x14ac:dyDescent="0.25">
      <c r="A345" s="207">
        <f>arrears!A345</f>
        <v>0</v>
      </c>
      <c r="F345" s="18"/>
      <c r="G345" s="207">
        <f>arrears!F345</f>
        <v>0</v>
      </c>
      <c r="L345" s="183"/>
    </row>
    <row r="346" spans="1:12" x14ac:dyDescent="0.25">
      <c r="A346" s="207">
        <f>arrears!A346</f>
        <v>0</v>
      </c>
      <c r="F346" s="18"/>
      <c r="G346" s="207">
        <f>arrears!F346</f>
        <v>0</v>
      </c>
      <c r="L346" s="183"/>
    </row>
    <row r="347" spans="1:12" x14ac:dyDescent="0.25">
      <c r="A347" s="207">
        <f>arrears!A347</f>
        <v>0</v>
      </c>
      <c r="F347" s="18"/>
      <c r="G347" s="207">
        <f>arrears!F347</f>
        <v>0</v>
      </c>
      <c r="L347" s="183"/>
    </row>
    <row r="348" spans="1:12" x14ac:dyDescent="0.25">
      <c r="A348" s="207">
        <f>arrears!A348</f>
        <v>0</v>
      </c>
      <c r="F348" s="18"/>
      <c r="G348" s="207">
        <f>arrears!F348</f>
        <v>0</v>
      </c>
      <c r="L348" s="183"/>
    </row>
    <row r="349" spans="1:12" x14ac:dyDescent="0.25">
      <c r="A349" s="177"/>
      <c r="B349" s="98"/>
      <c r="C349" s="98"/>
      <c r="D349" s="98"/>
      <c r="E349" s="98"/>
      <c r="F349" s="18"/>
      <c r="G349" s="98"/>
      <c r="H349" s="100" t="s">
        <v>71</v>
      </c>
      <c r="I349" s="178">
        <f>(B325+H325+B344+H344-C325-I325-C344-I344)</f>
        <v>0</v>
      </c>
      <c r="J349" s="98"/>
      <c r="K349" s="98"/>
      <c r="L349" s="183"/>
    </row>
    <row r="350" spans="1:12" x14ac:dyDescent="0.25">
      <c r="A350" s="98"/>
      <c r="B350" s="98"/>
      <c r="C350" s="98"/>
      <c r="D350" s="98"/>
      <c r="E350" s="98"/>
      <c r="F350" s="18"/>
      <c r="G350" s="98"/>
      <c r="H350" s="98"/>
      <c r="I350" s="98"/>
      <c r="J350" s="98"/>
      <c r="K350" s="98"/>
      <c r="L350" s="183"/>
    </row>
    <row r="351" spans="1:12" x14ac:dyDescent="0.25">
      <c r="A351" s="98"/>
      <c r="B351" s="98"/>
      <c r="C351" s="98"/>
      <c r="D351" s="98"/>
      <c r="E351" s="98"/>
      <c r="F351" s="18"/>
      <c r="G351" s="98"/>
      <c r="H351" s="98"/>
      <c r="I351" s="98"/>
      <c r="J351" s="98"/>
      <c r="K351" s="98"/>
      <c r="L351" s="183"/>
    </row>
    <row r="352" spans="1:12" x14ac:dyDescent="0.25">
      <c r="A352" s="98"/>
      <c r="B352" s="98"/>
      <c r="C352" s="98"/>
      <c r="D352" s="98"/>
      <c r="E352" s="98"/>
      <c r="F352" s="18"/>
      <c r="G352" s="98"/>
      <c r="H352" s="98"/>
      <c r="I352" s="98"/>
      <c r="J352" s="98"/>
      <c r="K352" s="98"/>
      <c r="L352" s="183"/>
    </row>
    <row r="353" spans="1:12" x14ac:dyDescent="0.25">
      <c r="A353" s="98"/>
      <c r="B353" s="98"/>
      <c r="C353" s="98"/>
      <c r="D353" s="98"/>
      <c r="E353" s="98"/>
      <c r="F353" s="18"/>
      <c r="G353" s="98"/>
      <c r="H353" s="98"/>
      <c r="I353" s="98"/>
      <c r="J353" s="98"/>
      <c r="K353" s="98"/>
      <c r="L353" s="183"/>
    </row>
    <row r="354" spans="1:12" x14ac:dyDescent="0.25">
      <c r="A354" s="98"/>
      <c r="B354" s="98"/>
      <c r="C354" s="98"/>
      <c r="D354" s="98"/>
      <c r="E354" s="98"/>
      <c r="F354" s="18"/>
      <c r="G354" s="98"/>
      <c r="H354" s="98"/>
      <c r="I354" s="98"/>
      <c r="J354" s="98"/>
      <c r="K354" s="98"/>
      <c r="L354" s="183"/>
    </row>
    <row r="355" spans="1:12" x14ac:dyDescent="0.25">
      <c r="A355" s="98"/>
      <c r="B355" s="98"/>
      <c r="C355" s="98"/>
      <c r="D355" s="98"/>
      <c r="E355" s="98"/>
      <c r="F355" s="18"/>
      <c r="G355" s="98"/>
      <c r="H355" s="98"/>
      <c r="I355" s="98"/>
      <c r="J355" s="98"/>
      <c r="K355" s="98"/>
      <c r="L355" s="183"/>
    </row>
    <row r="356" spans="1:12" x14ac:dyDescent="0.25">
      <c r="A356" s="2"/>
      <c r="B356" s="2"/>
      <c r="C356" s="2"/>
      <c r="D356" s="2"/>
      <c r="E356" s="2"/>
      <c r="F356" s="18"/>
      <c r="G356" s="2"/>
      <c r="H356" s="2"/>
      <c r="I356" s="2"/>
      <c r="J356" s="2"/>
      <c r="K356" s="2"/>
      <c r="L356" s="183"/>
    </row>
    <row r="357" spans="1:12" x14ac:dyDescent="0.25">
      <c r="A357" s="2"/>
      <c r="B357" s="2"/>
      <c r="C357" s="2"/>
      <c r="D357" s="2"/>
      <c r="E357" s="2"/>
      <c r="F357" s="18"/>
      <c r="G357" s="2"/>
      <c r="H357" s="2"/>
      <c r="I357" s="2"/>
      <c r="J357" s="2"/>
      <c r="K357" s="2"/>
      <c r="L357" s="183"/>
    </row>
    <row r="358" spans="1:12" x14ac:dyDescent="0.25">
      <c r="A358" s="2"/>
      <c r="B358" s="2"/>
      <c r="C358" s="2"/>
      <c r="D358" s="2"/>
      <c r="E358" s="2"/>
      <c r="F358" s="18"/>
      <c r="G358" s="2"/>
      <c r="H358" s="2"/>
      <c r="I358" s="2"/>
      <c r="J358" s="2"/>
      <c r="K358" s="2"/>
      <c r="L358" s="183"/>
    </row>
    <row r="359" spans="1:12" x14ac:dyDescent="0.25">
      <c r="A359" s="2"/>
      <c r="B359" s="2"/>
      <c r="C359" s="2"/>
      <c r="D359" s="2"/>
      <c r="E359" s="2"/>
      <c r="F359" s="18"/>
      <c r="G359" s="2"/>
      <c r="H359" s="2"/>
      <c r="I359" s="2"/>
      <c r="J359" s="2"/>
      <c r="K359" s="2"/>
      <c r="L359" s="183"/>
    </row>
    <row r="360" spans="1:12" x14ac:dyDescent="0.25">
      <c r="A360" s="2"/>
      <c r="B360" s="2"/>
      <c r="C360" s="2"/>
      <c r="D360" s="2"/>
      <c r="E360" s="2"/>
      <c r="F360" s="18"/>
      <c r="G360" s="2"/>
      <c r="H360" s="2"/>
      <c r="I360" s="2"/>
      <c r="J360" s="2"/>
      <c r="K360" s="2"/>
      <c r="L360" s="183"/>
    </row>
    <row r="361" spans="1:12" x14ac:dyDescent="0.25">
      <c r="A361" s="2"/>
      <c r="B361" s="2"/>
      <c r="C361" s="2"/>
      <c r="D361" s="2"/>
      <c r="E361" s="2"/>
      <c r="F361" s="18"/>
      <c r="G361" s="2"/>
      <c r="H361" s="2"/>
      <c r="I361" s="2"/>
      <c r="J361" s="2"/>
      <c r="K361" s="2"/>
      <c r="L361" s="183"/>
    </row>
    <row r="362" spans="1:12" x14ac:dyDescent="0.25">
      <c r="A362" s="2"/>
      <c r="B362" s="2"/>
      <c r="C362" s="2"/>
      <c r="D362" s="2"/>
      <c r="E362" s="2"/>
      <c r="F362" s="18"/>
      <c r="G362" s="2"/>
      <c r="H362" s="2"/>
      <c r="I362" s="2"/>
      <c r="J362" s="2"/>
      <c r="K362" s="2"/>
      <c r="L362" s="183"/>
    </row>
    <row r="363" spans="1:12" x14ac:dyDescent="0.25">
      <c r="A363" s="2"/>
      <c r="B363" s="2"/>
      <c r="C363" s="2"/>
      <c r="D363" s="2"/>
      <c r="E363" s="2"/>
      <c r="F363" s="18"/>
      <c r="G363" s="2"/>
      <c r="H363" s="2"/>
      <c r="I363" s="2"/>
      <c r="J363" s="2"/>
      <c r="K363" s="2"/>
      <c r="L363" s="183"/>
    </row>
    <row r="364" spans="1:12" x14ac:dyDescent="0.25">
      <c r="A364" s="2"/>
      <c r="B364" s="2"/>
      <c r="C364" s="2"/>
      <c r="D364" s="2"/>
      <c r="E364" s="2"/>
      <c r="F364" s="18"/>
      <c r="G364" s="2"/>
      <c r="H364" s="2"/>
      <c r="I364" s="2"/>
      <c r="J364" s="2"/>
      <c r="K364" s="2"/>
      <c r="L364" s="183"/>
    </row>
    <row r="365" spans="1:12" x14ac:dyDescent="0.25">
      <c r="A365" s="2"/>
      <c r="B365" s="2"/>
      <c r="C365" s="2"/>
      <c r="D365" s="2"/>
      <c r="E365" s="2"/>
      <c r="F365" s="18"/>
      <c r="G365" s="2"/>
      <c r="H365" s="2"/>
      <c r="I365" s="2"/>
      <c r="J365" s="2"/>
      <c r="K365" s="2"/>
      <c r="L365" s="183"/>
    </row>
    <row r="366" spans="1:12" x14ac:dyDescent="0.25">
      <c r="A366" s="2"/>
      <c r="B366" s="2"/>
      <c r="C366" s="2"/>
      <c r="D366" s="2"/>
      <c r="E366" s="2"/>
      <c r="F366" s="18"/>
      <c r="G366" s="2"/>
      <c r="H366" s="2"/>
      <c r="I366" s="2"/>
      <c r="J366" s="2"/>
      <c r="K366" s="2"/>
      <c r="L366" s="183"/>
    </row>
    <row r="367" spans="1:12" x14ac:dyDescent="0.25">
      <c r="A367" s="2"/>
      <c r="B367" s="2"/>
      <c r="C367" s="2"/>
      <c r="D367" s="2"/>
      <c r="E367" s="2"/>
      <c r="F367" s="18"/>
      <c r="G367" s="2"/>
      <c r="H367" s="2"/>
      <c r="I367" s="2"/>
      <c r="J367" s="2"/>
      <c r="K367" s="2"/>
      <c r="L367" s="183"/>
    </row>
    <row r="368" spans="1:12" x14ac:dyDescent="0.25">
      <c r="A368" s="2"/>
      <c r="B368" s="2"/>
      <c r="C368" s="2"/>
      <c r="D368" s="2"/>
      <c r="E368" s="2"/>
      <c r="F368" s="18"/>
      <c r="G368" s="2"/>
      <c r="H368" s="2"/>
      <c r="I368" s="2"/>
      <c r="J368" s="2"/>
      <c r="K368" s="2"/>
      <c r="L368" s="183"/>
    </row>
    <row r="369" spans="1:12" x14ac:dyDescent="0.25">
      <c r="A369" s="2"/>
      <c r="B369" s="2"/>
      <c r="C369" s="2"/>
      <c r="D369" s="2"/>
      <c r="E369" s="2"/>
      <c r="F369" s="18"/>
      <c r="G369" s="2"/>
      <c r="H369" s="2"/>
      <c r="I369" s="2"/>
      <c r="J369" s="2"/>
      <c r="K369" s="2"/>
      <c r="L369" s="183"/>
    </row>
    <row r="370" spans="1:12" x14ac:dyDescent="0.25">
      <c r="A370" s="2"/>
      <c r="B370" s="2"/>
      <c r="C370" s="2"/>
      <c r="D370" s="2"/>
      <c r="E370" s="2"/>
      <c r="F370" s="18"/>
      <c r="G370" s="2"/>
      <c r="H370" s="2"/>
      <c r="I370" s="2"/>
      <c r="J370" s="2"/>
      <c r="K370" s="2"/>
      <c r="L370" s="183"/>
    </row>
    <row r="371" spans="1:12" x14ac:dyDescent="0.25">
      <c r="A371" s="2"/>
      <c r="B371" s="2"/>
      <c r="C371" s="2"/>
      <c r="D371" s="2"/>
      <c r="E371" s="2"/>
      <c r="F371" s="18"/>
      <c r="G371" s="2"/>
      <c r="H371" s="2"/>
      <c r="I371" s="2"/>
      <c r="J371" s="2"/>
      <c r="K371" s="2"/>
      <c r="L371" s="183"/>
    </row>
    <row r="372" spans="1:12" x14ac:dyDescent="0.25">
      <c r="A372" s="2"/>
      <c r="B372" s="2"/>
      <c r="C372" s="2"/>
      <c r="D372" s="2"/>
      <c r="E372" s="2"/>
      <c r="F372" s="18"/>
      <c r="G372" s="2"/>
      <c r="H372" s="2"/>
      <c r="I372" s="2"/>
      <c r="J372" s="2"/>
      <c r="K372" s="2"/>
      <c r="L372" s="183"/>
    </row>
    <row r="373" spans="1:12" x14ac:dyDescent="0.25">
      <c r="A373" s="2"/>
      <c r="B373" s="2"/>
      <c r="C373" s="2"/>
      <c r="D373" s="2"/>
      <c r="E373" s="2"/>
      <c r="F373" s="18"/>
      <c r="G373" s="2"/>
      <c r="H373" s="2"/>
      <c r="I373" s="2"/>
      <c r="J373" s="2"/>
      <c r="K373" s="2"/>
      <c r="L373" s="183"/>
    </row>
    <row r="374" spans="1:12" x14ac:dyDescent="0.25">
      <c r="A374" s="2"/>
      <c r="B374" s="2"/>
      <c r="C374" s="2"/>
      <c r="D374" s="2"/>
      <c r="E374" s="2"/>
      <c r="F374" s="18"/>
      <c r="G374" s="2"/>
      <c r="H374" s="2"/>
      <c r="I374" s="2"/>
      <c r="J374" s="2"/>
      <c r="K374" s="2"/>
      <c r="L374" s="183"/>
    </row>
    <row r="375" spans="1:12" x14ac:dyDescent="0.25">
      <c r="A375" s="2"/>
      <c r="B375" s="2"/>
      <c r="C375" s="2"/>
      <c r="D375" s="2"/>
      <c r="E375" s="2"/>
      <c r="F375" s="18"/>
      <c r="G375" s="2"/>
      <c r="H375" s="2"/>
      <c r="I375" s="2"/>
      <c r="J375" s="2"/>
      <c r="K375" s="2"/>
      <c r="L375" s="183"/>
    </row>
    <row r="376" spans="1:12" x14ac:dyDescent="0.25">
      <c r="A376" s="2"/>
      <c r="B376" s="2"/>
      <c r="C376" s="2"/>
      <c r="D376" s="2"/>
      <c r="E376" s="2"/>
      <c r="F376" s="18"/>
      <c r="G376" s="2"/>
      <c r="H376" s="2"/>
      <c r="I376" s="2"/>
      <c r="J376" s="2"/>
      <c r="K376" s="2"/>
      <c r="L376" s="183"/>
    </row>
    <row r="377" spans="1:12" x14ac:dyDescent="0.25">
      <c r="A377" s="2"/>
      <c r="B377" s="2"/>
      <c r="C377" s="2"/>
      <c r="D377" s="2"/>
      <c r="E377" s="2"/>
      <c r="F377" s="18"/>
      <c r="G377" s="2"/>
      <c r="H377" s="2"/>
      <c r="I377" s="2"/>
      <c r="J377" s="2"/>
      <c r="K377" s="2"/>
      <c r="L377" s="183"/>
    </row>
    <row r="378" spans="1:12" x14ac:dyDescent="0.25">
      <c r="A378" s="2"/>
      <c r="B378" s="2"/>
      <c r="C378" s="2"/>
      <c r="D378" s="2"/>
      <c r="E378" s="2"/>
      <c r="F378" s="18"/>
      <c r="G378" s="2"/>
      <c r="H378" s="2"/>
      <c r="I378" s="2"/>
      <c r="J378" s="2"/>
      <c r="K378" s="2"/>
      <c r="L378" s="183"/>
    </row>
    <row r="379" spans="1:12" x14ac:dyDescent="0.25">
      <c r="A379" s="2"/>
      <c r="B379" s="2"/>
      <c r="C379" s="2"/>
      <c r="D379" s="2"/>
      <c r="E379" s="2"/>
      <c r="F379" s="18"/>
      <c r="G379" s="2"/>
      <c r="H379" s="2"/>
      <c r="I379" s="2"/>
      <c r="J379" s="2"/>
      <c r="K379" s="2"/>
      <c r="L379" s="183"/>
    </row>
    <row r="380" spans="1:12" x14ac:dyDescent="0.25">
      <c r="A380" s="2"/>
      <c r="B380" s="2"/>
      <c r="C380" s="2"/>
      <c r="D380" s="2"/>
      <c r="E380" s="2"/>
      <c r="F380" s="18"/>
      <c r="G380" s="2"/>
      <c r="H380" s="2"/>
      <c r="I380" s="2"/>
      <c r="J380" s="2"/>
      <c r="K380" s="2"/>
      <c r="L380" s="183"/>
    </row>
    <row r="381" spans="1:12" x14ac:dyDescent="0.25">
      <c r="A381" s="2"/>
      <c r="B381" s="2"/>
      <c r="C381" s="2"/>
      <c r="D381" s="2"/>
      <c r="E381" s="2"/>
      <c r="F381" s="18"/>
      <c r="G381" s="2"/>
      <c r="H381" s="2"/>
      <c r="I381" s="2"/>
      <c r="J381" s="2"/>
      <c r="K381" s="2"/>
      <c r="L381" s="183"/>
    </row>
    <row r="382" spans="1:12" x14ac:dyDescent="0.25">
      <c r="A382" s="2"/>
      <c r="B382" s="2"/>
      <c r="C382" s="2"/>
      <c r="D382" s="2"/>
      <c r="E382" s="2"/>
      <c r="F382" s="18"/>
      <c r="G382" s="2"/>
      <c r="H382" s="2"/>
      <c r="I382" s="2"/>
      <c r="J382" s="2"/>
      <c r="K382" s="2"/>
      <c r="L382" s="183"/>
    </row>
    <row r="383" spans="1:12" x14ac:dyDescent="0.25">
      <c r="A383" s="2"/>
      <c r="B383" s="2"/>
      <c r="C383" s="2"/>
      <c r="D383" s="2"/>
      <c r="E383" s="2"/>
      <c r="F383" s="18"/>
      <c r="G383" s="2"/>
      <c r="H383" s="2"/>
      <c r="I383" s="2"/>
      <c r="J383" s="2"/>
      <c r="K383" s="2"/>
      <c r="L383" s="183"/>
    </row>
    <row r="384" spans="1:12" x14ac:dyDescent="0.25">
      <c r="A384" s="2"/>
      <c r="B384" s="2"/>
      <c r="C384" s="2"/>
      <c r="D384" s="2"/>
      <c r="E384" s="2"/>
      <c r="F384" s="18"/>
      <c r="G384" s="2"/>
      <c r="H384" s="2"/>
      <c r="I384" s="2"/>
      <c r="J384" s="2"/>
      <c r="K384" s="2"/>
      <c r="L384" s="183"/>
    </row>
    <row r="385" spans="1:12" x14ac:dyDescent="0.25">
      <c r="A385" s="2"/>
      <c r="B385" s="2"/>
      <c r="C385" s="2"/>
      <c r="D385" s="2"/>
      <c r="E385" s="2"/>
      <c r="F385" s="18"/>
      <c r="G385" s="2"/>
      <c r="H385" s="2"/>
      <c r="I385" s="2"/>
      <c r="J385" s="2"/>
      <c r="K385" s="2"/>
      <c r="L385" s="183"/>
    </row>
    <row r="386" spans="1:12" x14ac:dyDescent="0.25">
      <c r="A386" s="2"/>
      <c r="B386" s="2"/>
      <c r="C386" s="2"/>
      <c r="D386" s="2"/>
      <c r="E386" s="2"/>
      <c r="F386" s="18"/>
      <c r="G386" s="2"/>
      <c r="H386" s="2"/>
      <c r="I386" s="2"/>
      <c r="J386" s="2"/>
      <c r="K386" s="2"/>
      <c r="L386" s="183"/>
    </row>
    <row r="387" spans="1:12" x14ac:dyDescent="0.25">
      <c r="A387" s="2"/>
      <c r="B387" s="2"/>
      <c r="C387" s="2"/>
      <c r="D387" s="2"/>
      <c r="E387" s="2"/>
      <c r="F387" s="18"/>
      <c r="G387" s="2"/>
      <c r="H387" s="2"/>
      <c r="I387" s="2"/>
      <c r="J387" s="2"/>
      <c r="K387" s="2"/>
      <c r="L387" s="183"/>
    </row>
    <row r="388" spans="1:12" x14ac:dyDescent="0.25">
      <c r="A388" s="2"/>
      <c r="B388" s="2"/>
      <c r="C388" s="2"/>
      <c r="D388" s="2"/>
      <c r="E388" s="2"/>
      <c r="F388" s="18"/>
      <c r="G388" s="2"/>
      <c r="H388" s="2"/>
      <c r="I388" s="2"/>
      <c r="J388" s="2"/>
      <c r="K388" s="2"/>
      <c r="L388" s="183"/>
    </row>
    <row r="389" spans="1:12" x14ac:dyDescent="0.25">
      <c r="A389" s="2"/>
      <c r="B389" s="2"/>
      <c r="C389" s="2"/>
      <c r="D389" s="2"/>
      <c r="E389" s="2"/>
      <c r="F389" s="18"/>
      <c r="G389" s="2"/>
      <c r="H389" s="2"/>
      <c r="I389" s="2"/>
      <c r="J389" s="2"/>
      <c r="K389" s="2"/>
      <c r="L389" s="183"/>
    </row>
    <row r="390" spans="1:12" x14ac:dyDescent="0.25">
      <c r="A390" s="2"/>
      <c r="B390" s="2"/>
      <c r="C390" s="2"/>
      <c r="D390" s="2"/>
      <c r="E390" s="2"/>
      <c r="F390" s="18"/>
      <c r="G390" s="2"/>
      <c r="H390" s="2"/>
      <c r="I390" s="2"/>
      <c r="J390" s="2"/>
      <c r="K390" s="2"/>
      <c r="L390" s="183"/>
    </row>
    <row r="391" spans="1:12" x14ac:dyDescent="0.25">
      <c r="A391" s="2"/>
      <c r="B391" s="2"/>
      <c r="C391" s="2"/>
      <c r="D391" s="2"/>
      <c r="E391" s="2"/>
      <c r="F391" s="18"/>
      <c r="G391" s="2"/>
      <c r="H391" s="2"/>
      <c r="I391" s="2"/>
      <c r="J391" s="2"/>
      <c r="K391" s="2"/>
      <c r="L391" s="183"/>
    </row>
    <row r="392" spans="1:12" x14ac:dyDescent="0.25">
      <c r="A392" s="2"/>
      <c r="B392" s="2"/>
      <c r="C392" s="2"/>
      <c r="D392" s="2"/>
      <c r="E392" s="2"/>
      <c r="F392" s="18"/>
      <c r="G392" s="2"/>
      <c r="H392" s="2"/>
      <c r="I392" s="2"/>
      <c r="J392" s="2"/>
      <c r="K392" s="2"/>
      <c r="L392" s="183"/>
    </row>
    <row r="393" spans="1:12" x14ac:dyDescent="0.25">
      <c r="A393" s="2"/>
      <c r="B393" s="2"/>
      <c r="C393" s="2"/>
      <c r="D393" s="2"/>
      <c r="E393" s="2"/>
      <c r="F393" s="18"/>
      <c r="G393" s="2"/>
      <c r="H393" s="2"/>
      <c r="I393" s="2"/>
      <c r="J393" s="2"/>
      <c r="K393" s="2"/>
      <c r="L393" s="183"/>
    </row>
    <row r="394" spans="1:12" x14ac:dyDescent="0.25">
      <c r="A394" s="2"/>
      <c r="B394" s="2"/>
      <c r="C394" s="2"/>
      <c r="D394" s="2"/>
      <c r="E394" s="2"/>
      <c r="F394" s="18"/>
      <c r="G394" s="2"/>
      <c r="H394" s="2"/>
      <c r="I394" s="2"/>
      <c r="J394" s="2"/>
      <c r="K394" s="2"/>
      <c r="L394" s="183"/>
    </row>
    <row r="395" spans="1:12" x14ac:dyDescent="0.25">
      <c r="F395" s="17"/>
      <c r="L395" s="182"/>
    </row>
    <row r="396" spans="1:12" x14ac:dyDescent="0.25">
      <c r="F396" s="17"/>
      <c r="L396" s="182"/>
    </row>
    <row r="397" spans="1:12" x14ac:dyDescent="0.25">
      <c r="F397" s="17"/>
      <c r="L397" s="182"/>
    </row>
    <row r="398" spans="1:12" x14ac:dyDescent="0.25">
      <c r="F398" s="17"/>
      <c r="L398" s="182"/>
    </row>
    <row r="399" spans="1:12" x14ac:dyDescent="0.25">
      <c r="F399" s="17"/>
      <c r="L399" s="182"/>
    </row>
    <row r="400" spans="1:12" x14ac:dyDescent="0.25">
      <c r="F400" s="17"/>
      <c r="L400" s="182"/>
    </row>
    <row r="401" spans="6:12" x14ac:dyDescent="0.25">
      <c r="F401" s="17"/>
      <c r="L401" s="182"/>
    </row>
    <row r="402" spans="6:12" x14ac:dyDescent="0.25">
      <c r="F402" s="17"/>
      <c r="L402" s="182"/>
    </row>
    <row r="403" spans="6:12" x14ac:dyDescent="0.25">
      <c r="F403" s="17"/>
      <c r="L403" s="182"/>
    </row>
    <row r="404" spans="6:12" x14ac:dyDescent="0.25">
      <c r="F404" s="17"/>
      <c r="L404" s="182"/>
    </row>
    <row r="405" spans="6:12" x14ac:dyDescent="0.25">
      <c r="F405" s="17"/>
    </row>
    <row r="406" spans="6:12" x14ac:dyDescent="0.25">
      <c r="F406" s="17"/>
    </row>
    <row r="407" spans="6:12" x14ac:dyDescent="0.25">
      <c r="F407" s="17"/>
    </row>
    <row r="408" spans="6:12" x14ac:dyDescent="0.25">
      <c r="F408" s="17"/>
    </row>
    <row r="409" spans="6:12" x14ac:dyDescent="0.25">
      <c r="F409" s="17"/>
    </row>
    <row r="410" spans="6:12" x14ac:dyDescent="0.25">
      <c r="F410" s="17"/>
    </row>
    <row r="411" spans="6:12" x14ac:dyDescent="0.25">
      <c r="F411" s="17"/>
    </row>
    <row r="412" spans="6:12" x14ac:dyDescent="0.25">
      <c r="F412" s="17"/>
    </row>
    <row r="413" spans="6:12" x14ac:dyDescent="0.25">
      <c r="F413" s="17"/>
    </row>
    <row r="414" spans="6:12" x14ac:dyDescent="0.25">
      <c r="F414" s="17"/>
    </row>
    <row r="415" spans="6:12" x14ac:dyDescent="0.25">
      <c r="F415" s="17"/>
    </row>
    <row r="416" spans="6:12" x14ac:dyDescent="0.25">
      <c r="F416" s="17"/>
    </row>
    <row r="417" spans="6:6" x14ac:dyDescent="0.25">
      <c r="F417" s="17"/>
    </row>
    <row r="418" spans="6:6" x14ac:dyDescent="0.25">
      <c r="F418" s="17"/>
    </row>
  </sheetData>
  <sheetProtection formatCells="0"/>
  <mergeCells count="22">
    <mergeCell ref="A1:K1"/>
    <mergeCell ref="F15:G15"/>
    <mergeCell ref="F16:G16"/>
    <mergeCell ref="F17:G17"/>
    <mergeCell ref="F18:G18"/>
    <mergeCell ref="A11:K11"/>
    <mergeCell ref="E26:F26"/>
    <mergeCell ref="E27:F27"/>
    <mergeCell ref="D13:E13"/>
    <mergeCell ref="A55:B55"/>
    <mergeCell ref="E32:F32"/>
    <mergeCell ref="E33:F33"/>
    <mergeCell ref="A34:B34"/>
    <mergeCell ref="E34:F34"/>
    <mergeCell ref="A40:L40"/>
    <mergeCell ref="C41:I41"/>
    <mergeCell ref="A35:B35"/>
    <mergeCell ref="E35:F35"/>
    <mergeCell ref="E28:F28"/>
    <mergeCell ref="E29:F29"/>
    <mergeCell ref="E30:F30"/>
    <mergeCell ref="E31:F31"/>
  </mergeCells>
  <phoneticPr fontId="3" type="noConversion"/>
  <pageMargins left="0" right="0" top="0.5" bottom="0.5" header="0.5" footer="0.5"/>
  <pageSetup scale="94" orientation="portrait" blackAndWhite="1" r:id="rId1"/>
  <headerFooter alignWithMargins="0">
    <oddFooter>&amp;L&amp;F&amp;CSimple Surcharge&amp;RPage &amp;P</oddFooter>
  </headerFooter>
  <rowBreaks count="6" manualBreakCount="6">
    <brk id="58" max="16383" man="1"/>
    <brk id="105" max="16383" man="1"/>
    <brk id="154" max="16383" man="1"/>
    <brk id="203" max="16383" man="1"/>
    <brk id="252" max="16383" man="1"/>
    <brk id="3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B26"/>
  <sheetViews>
    <sheetView workbookViewId="0">
      <selection sqref="A1:XFD15"/>
    </sheetView>
  </sheetViews>
  <sheetFormatPr defaultRowHeight="13.2" x14ac:dyDescent="0.25"/>
  <sheetData>
    <row r="1" spans="1:2" x14ac:dyDescent="0.25">
      <c r="A1" t="s">
        <v>104</v>
      </c>
    </row>
    <row r="2" spans="1:2" x14ac:dyDescent="0.25">
      <c r="A2" t="s">
        <v>110</v>
      </c>
      <c r="B2" t="s">
        <v>113</v>
      </c>
    </row>
    <row r="3" spans="1:2" x14ac:dyDescent="0.25">
      <c r="A3" t="s">
        <v>105</v>
      </c>
      <c r="B3" t="s">
        <v>114</v>
      </c>
    </row>
    <row r="4" spans="1:2" x14ac:dyDescent="0.25">
      <c r="A4" t="s">
        <v>107</v>
      </c>
      <c r="B4" t="s">
        <v>111</v>
      </c>
    </row>
    <row r="5" spans="1:2" x14ac:dyDescent="0.25">
      <c r="A5" t="s">
        <v>106</v>
      </c>
      <c r="B5" t="s">
        <v>112</v>
      </c>
    </row>
    <row r="6" spans="1:2" x14ac:dyDescent="0.25">
      <c r="A6" t="s">
        <v>108</v>
      </c>
      <c r="B6" t="s">
        <v>115</v>
      </c>
    </row>
    <row r="7" spans="1:2" x14ac:dyDescent="0.25">
      <c r="A7" t="s">
        <v>109</v>
      </c>
      <c r="B7" t="s">
        <v>116</v>
      </c>
    </row>
    <row r="13" spans="1:2" x14ac:dyDescent="0.25">
      <c r="A13" t="s">
        <v>117</v>
      </c>
    </row>
    <row r="15" spans="1:2" x14ac:dyDescent="0.25">
      <c r="A15" t="s">
        <v>118</v>
      </c>
    </row>
    <row r="24" spans="1:1" x14ac:dyDescent="0.25">
      <c r="A24" t="s">
        <v>26</v>
      </c>
    </row>
    <row r="25" spans="1:1" x14ac:dyDescent="0.25">
      <c r="A25" t="s">
        <v>26</v>
      </c>
    </row>
    <row r="26" spans="1:1" x14ac:dyDescent="0.25">
      <c r="A26" t="s">
        <v>26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22"/>
  <sheetViews>
    <sheetView tabSelected="1" workbookViewId="0">
      <selection activeCell="A22" sqref="A22"/>
    </sheetView>
  </sheetViews>
  <sheetFormatPr defaultRowHeight="13.2" x14ac:dyDescent="0.25"/>
  <sheetData>
    <row r="1" spans="1:1" x14ac:dyDescent="0.25">
      <c r="A1" t="s">
        <v>26</v>
      </c>
    </row>
    <row r="2" spans="1:1" x14ac:dyDescent="0.25">
      <c r="A2" t="s">
        <v>74</v>
      </c>
    </row>
    <row r="3" spans="1:1" x14ac:dyDescent="0.25">
      <c r="A3" t="s">
        <v>97</v>
      </c>
    </row>
    <row r="4" spans="1:1" x14ac:dyDescent="0.25">
      <c r="A4" t="s">
        <v>76</v>
      </c>
    </row>
    <row r="5" spans="1:1" x14ac:dyDescent="0.25">
      <c r="A5" t="s">
        <v>86</v>
      </c>
    </row>
    <row r="6" spans="1:1" x14ac:dyDescent="0.25">
      <c r="A6" t="s">
        <v>85</v>
      </c>
    </row>
    <row r="7" spans="1:1" x14ac:dyDescent="0.25">
      <c r="A7" t="s">
        <v>75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94</v>
      </c>
    </row>
    <row r="20" spans="1:1" x14ac:dyDescent="0.25">
      <c r="A20" t="s">
        <v>90</v>
      </c>
    </row>
    <row r="21" spans="1:1" x14ac:dyDescent="0.25">
      <c r="A21" t="s">
        <v>100</v>
      </c>
    </row>
    <row r="22" spans="1:1" x14ac:dyDescent="0.25">
      <c r="A22" t="s">
        <v>99</v>
      </c>
    </row>
  </sheetData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arrears</vt:lpstr>
      <vt:lpstr>surcharge</vt:lpstr>
      <vt:lpstr>simple surcharge</vt:lpstr>
      <vt:lpstr>Help</vt:lpstr>
      <vt:lpstr>Sheet4</vt:lpstr>
      <vt:lpstr>Arrears_page_totals</vt:lpstr>
      <vt:lpstr>ArrearsTypes</vt:lpstr>
      <vt:lpstr>Monthly_balances_due</vt:lpstr>
      <vt:lpstr>NPA_Arrears</vt:lpstr>
      <vt:lpstr>arrears!Print_Area</vt:lpstr>
      <vt:lpstr>surcharge!Print_Area</vt:lpstr>
      <vt:lpstr>Surcharge</vt:lpstr>
      <vt:lpstr>Surcharge_calculation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Arrears Affidavit</dc:title>
  <dc:creator>Wolf, Paul</dc:creator>
  <cp:lastModifiedBy>Sanborn, Dawn</cp:lastModifiedBy>
  <cp:lastPrinted>2007-12-14T14:06:54Z</cp:lastPrinted>
  <dcterms:created xsi:type="dcterms:W3CDTF">1999-02-17T21:06:09Z</dcterms:created>
  <dcterms:modified xsi:type="dcterms:W3CDTF">2021-12-30T13:22:20Z</dcterms:modified>
</cp:coreProperties>
</file>